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75" windowHeight="4650" activeTab="4"/>
  </bookViews>
  <sheets>
    <sheet name="ANEXO I-C" sheetId="1" r:id="rId1"/>
    <sheet name="ANEXO I-E" sheetId="2" r:id="rId2"/>
    <sheet name="ANEXO I-D" sheetId="3" r:id="rId3"/>
    <sheet name="ANEXO 1-F" sheetId="4" r:id="rId4"/>
    <sheet name="ANEXO I-B" sheetId="5" r:id="rId5"/>
    <sheet name="Plan5" sheetId="6" r:id="rId6"/>
    <sheet name="Plan6" sheetId="7" r:id="rId7"/>
    <sheet name="Plan7" sheetId="8" r:id="rId8"/>
    <sheet name="Plan8" sheetId="9" r:id="rId9"/>
    <sheet name="Plan9" sheetId="10" r:id="rId10"/>
    <sheet name="Plan10" sheetId="11" r:id="rId11"/>
    <sheet name="Plan11" sheetId="12" r:id="rId12"/>
    <sheet name="Plan12" sheetId="13" r:id="rId13"/>
    <sheet name="Plan13" sheetId="14" r:id="rId14"/>
    <sheet name="Plan14" sheetId="15" r:id="rId15"/>
    <sheet name="Plan15" sheetId="16" r:id="rId16"/>
    <sheet name="Plan16" sheetId="17" r:id="rId17"/>
  </sheets>
  <definedNames>
    <definedName name="_xlnm.Print_Area" localSheetId="3">'ANEXO 1-F'!$A$1:$H$30</definedName>
    <definedName name="_xlnm.Print_Area" localSheetId="4">'ANEXO I-B'!$A$1:$K$52</definedName>
    <definedName name="_xlnm.Print_Area" localSheetId="0">'ANEXO I-C'!$A$1:$V$125</definedName>
    <definedName name="_xlnm.Print_Area" localSheetId="2">'ANEXO I-D'!$A$1:$K$16</definedName>
    <definedName name="_xlnm.Print_Area" localSheetId="1">'ANEXO I-E'!$A$1:$H$27</definedName>
  </definedNames>
  <calcPr fullCalcOnLoad="1"/>
</workbook>
</file>

<file path=xl/comments1.xml><?xml version="1.0" encoding="utf-8"?>
<comments xmlns="http://schemas.openxmlformats.org/spreadsheetml/2006/main">
  <authors>
    <author>Alexandre dos Santos Angelim</author>
  </authors>
  <commentList>
    <comment ref="B40" authorId="0">
      <text>
        <r>
          <rPr>
            <b/>
            <sz val="9"/>
            <rFont val="Segoe UI"/>
            <family val="2"/>
          </rPr>
          <t>Alexandre dos Santos Angelim:</t>
        </r>
        <r>
          <rPr>
            <sz val="9"/>
            <rFont val="Segoe UI"/>
            <family val="2"/>
          </rPr>
          <t xml:space="preserve">
</t>
        </r>
      </text>
    </comment>
    <comment ref="B94" authorId="0">
      <text>
        <r>
          <rPr>
            <b/>
            <sz val="9"/>
            <rFont val="Segoe UI"/>
            <family val="2"/>
          </rPr>
          <t>Alexandre dos Santos Angelim: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Alexandre dos Santos Angelim</author>
  </authors>
  <commentList>
    <comment ref="B28" authorId="0">
      <text>
        <r>
          <rPr>
            <b/>
            <sz val="9"/>
            <rFont val="Segoe UI"/>
            <family val="2"/>
          </rPr>
          <t>Alexandre dos Santos Angelim: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<sst xmlns="http://schemas.openxmlformats.org/spreadsheetml/2006/main" count="399" uniqueCount="139">
  <si>
    <t>COMPANHIA DOCAS DO RIO DE JANEIRO</t>
  </si>
  <si>
    <t>PAVIMENTAÇÃO DAS VIAS INTERNAS DO PORTO DE ITAGUAÍ</t>
  </si>
  <si>
    <t>PORTARIA PRINCIPAL</t>
  </si>
  <si>
    <t>DEFLEXÃO MÉDIA DE 10,4cm ENTRE A PROJEÇÃO DOS GATES DA PORTARIA PRINCIPAL E O PONTILHÃO DA PISTA 200</t>
  </si>
  <si>
    <t>SOLUÇÃO: ELEVAÇÃO DA GOLA DOS MEIO-FIO DOS PASSEIOS (CALÇADA DE PEDESTRE)</t>
  </si>
  <si>
    <t>COMPRIMENTO DO MEIO-FIO = 426,60ml</t>
  </si>
  <si>
    <t>ÁREA DAS CALÇADAS = 1003,80m²</t>
  </si>
  <si>
    <t>Serviços:</t>
  </si>
  <si>
    <t>Retirada das placas pré-moldadas do meio-fio (426,60m);</t>
  </si>
  <si>
    <t>Retirada dos blocos de concreto intertravados (1.003,80m²);</t>
  </si>
  <si>
    <t>Assentamento das placas pré-moldadas do meio-fio (426,60m);</t>
  </si>
  <si>
    <t>Assentamento dos blocos de concreto intertravados incluindo os rejuntamentos (1.003,80m²);</t>
  </si>
  <si>
    <t>Levantar o pescoço das grelhas tipo "boca de lôbo" (20 unidades).</t>
  </si>
  <si>
    <t>TABELA DE RESTAURAÇÃO DOS PAVIMENTOS</t>
  </si>
  <si>
    <t>VIA</t>
  </si>
  <si>
    <t>INÍCIO</t>
  </si>
  <si>
    <t>FINAL</t>
  </si>
  <si>
    <t>Km INICIAL</t>
  </si>
  <si>
    <t>Km FINAL</t>
  </si>
  <si>
    <t>Dº média (0,01mm)</t>
  </si>
  <si>
    <t>Dc (0,01mm)</t>
  </si>
  <si>
    <t>Rc (m)</t>
  </si>
  <si>
    <t>E² (kgf/cm²)</t>
  </si>
  <si>
    <t>Hr (cm)</t>
  </si>
  <si>
    <t>TIPO DE INTERVENÇÃO</t>
  </si>
  <si>
    <t>MF(2cm) + CBUQ(8,5cm)</t>
  </si>
  <si>
    <t>MF(2cm) + CBUQ(3,5cm)</t>
  </si>
  <si>
    <t>MF(2cm) + CBUQ(4,0cm)</t>
  </si>
  <si>
    <t>VIADUTO</t>
  </si>
  <si>
    <t>900 sentido PIER</t>
  </si>
  <si>
    <t>DRG + REC</t>
  </si>
  <si>
    <t>MF(2cm) + CBUQ(8,0cm)</t>
  </si>
  <si>
    <t>MF(2cm) + CBUQ(10cm)</t>
  </si>
  <si>
    <t>200/900</t>
  </si>
  <si>
    <t>ALÇAS SOB VIADUTO</t>
  </si>
  <si>
    <t>PONTE</t>
  </si>
  <si>
    <t>GATE CSN</t>
  </si>
  <si>
    <t>PARALELA VIADUTO</t>
  </si>
  <si>
    <t>PORTÃO ILHA DA MADEIRA</t>
  </si>
  <si>
    <t>RÓTULA</t>
  </si>
  <si>
    <t>SIMBOLOGIAS</t>
  </si>
  <si>
    <t>CBUQ = CONCRETO BETUMINOSO USINADO À QUENTE</t>
  </si>
  <si>
    <t>REC = RECONSTRUÇÃO DO PAVIMENTO COM A SEÇÃO: CBUQ 7,5cm + BG 15cm + SBG 15cm</t>
  </si>
  <si>
    <t>BG = BRITA GRADUADA (CBR &gt;= 100)</t>
  </si>
  <si>
    <t>SBG = SUB-BASE GRANULAR (CBR &gt;= 30)</t>
  </si>
  <si>
    <t>MF = MASSA FINA DE PMQ POLIMÉRICO, CONFORME DNER ES-388/99</t>
  </si>
  <si>
    <t>MICRO = MICRO-CONCRETO ASFÁLTICO A FRIO COM POLÍMERO</t>
  </si>
  <si>
    <t>D0 = DEFLEXÃO MÉDIA DO PAVIMENTO</t>
  </si>
  <si>
    <t>DC = DEFLEXÃO CARACTERÍSTICA (MÉDIA + DESVIO PADRÃO)</t>
  </si>
  <si>
    <t>E2 = MÓDULO DE ELASTICIDADE MÉDIO DAS CAMADAS GRANULARES (BASE E SUB-BASE)</t>
  </si>
  <si>
    <t>RC = RAIO DE CURVATURA MÉDIO DA DEFORMADA DE SUPERFÍCIE</t>
  </si>
  <si>
    <t>HR = ESPESSURA DE RECAPEAMENTO EM CBUQ REQUERIDA PELO CRITÉRIO DEFLECTOMÉTRICO EM DNER PRO-011/79</t>
  </si>
  <si>
    <r>
      <t xml:space="preserve">DRG = </t>
    </r>
    <r>
      <rPr>
        <sz val="9"/>
        <rFont val="Arial"/>
        <family val="2"/>
      </rPr>
      <t>IMPLANTAÇÃO DE DRENOS LONGITUDINAIS PROFUNDOS EM AMBOS OS LADOS DA PISTA, NO ENCONTRO PISTA-ACOSTAMENTO</t>
    </r>
  </si>
  <si>
    <t>ÁREA A</t>
  </si>
  <si>
    <t>área (m²)</t>
  </si>
  <si>
    <t>ÁREA D</t>
  </si>
  <si>
    <t>ÁREA B</t>
  </si>
  <si>
    <t>PONTILHÃO</t>
  </si>
  <si>
    <t>ENTRONCAMENTO PISTA 500</t>
  </si>
  <si>
    <t>volume CBUQ (m³)</t>
  </si>
  <si>
    <t>volume MF (2cm) (m³)</t>
  </si>
  <si>
    <t>área imprimação (m²)</t>
  </si>
  <si>
    <t>área pintura de ligação (m²)</t>
  </si>
  <si>
    <t>PISTA</t>
  </si>
  <si>
    <t>ACOSTAMENTO</t>
  </si>
  <si>
    <t>LOCAL INTERVENÇÃO</t>
  </si>
  <si>
    <t>MF(2cm)</t>
  </si>
  <si>
    <t>volume CBUQ BINDER (m³)</t>
  </si>
  <si>
    <t>PROD. DIA CBUQ</t>
  </si>
  <si>
    <t>PROD. DIA BINDER</t>
  </si>
  <si>
    <t>MF(2cm) + CBUQ(8,5cm) - 4,5cm binder e 4,0cm cbuq</t>
  </si>
  <si>
    <t>TABULEIRO</t>
  </si>
  <si>
    <t>MICRO (8mm)</t>
  </si>
  <si>
    <t>DRG + REC - BINDER 4,0cm e CBUQ 3,5cm</t>
  </si>
  <si>
    <t>MF(2cm) + CBUQ(8,0cm) - 4,0cm binder e 4,0cm cbuq</t>
  </si>
  <si>
    <t>MF(2cm) + CBUQ(10cm) - 6cm binder e 4cm cbuq</t>
  </si>
  <si>
    <t>MICRO (15mm)</t>
  </si>
  <si>
    <t>PISTA SENTIDO SEDE</t>
  </si>
  <si>
    <t>PISTA SENTIDO SAIDA</t>
  </si>
  <si>
    <t>SENTIDO CSN</t>
  </si>
  <si>
    <t>SENTIDO PIER</t>
  </si>
  <si>
    <t>COMPRIMENTO TOTAL DE PISTAS =</t>
  </si>
  <si>
    <t>Km</t>
  </si>
  <si>
    <t>SUBESTAÇÃO PRINCIPAL ELÉTRICA</t>
  </si>
  <si>
    <t>PISTA 200</t>
  </si>
  <si>
    <t>SENTIDO SUBESTAÇÃO</t>
  </si>
  <si>
    <t>RETORNO</t>
  </si>
  <si>
    <t>BIFURCAÇÃO</t>
  </si>
  <si>
    <t>POSTO FERROVIÁRIO</t>
  </si>
  <si>
    <t>BINDER TON (2,4T/m³)</t>
  </si>
  <si>
    <t>CBUQ TON (2,4t/m³)</t>
  </si>
  <si>
    <t>totais</t>
  </si>
  <si>
    <t>CÁLCULO DE ÁREAS E VOLUMES</t>
  </si>
  <si>
    <t>espessura média de escavação (m)</t>
  </si>
  <si>
    <t>volume escavado (m³)</t>
  </si>
  <si>
    <t>bota fora (t) 1,8t/m³</t>
  </si>
  <si>
    <t>sub-base granular e=0,15m</t>
  </si>
  <si>
    <t>brita graduada e=0,15m</t>
  </si>
  <si>
    <t>CÁLCULO DE ÁREAS E VOLUMES - RECONSTRUÇÃO DE PAVIMENTO</t>
  </si>
  <si>
    <t>TOTAIS</t>
  </si>
  <si>
    <t>CÁLCULO DE ÁREAS E VOLUMES - IMPLANTAÇÃO DE DRENOS LONGITUDINAIS PROFUNDOS</t>
  </si>
  <si>
    <t>COMPRIMENTO (m)</t>
  </si>
  <si>
    <t>CONSIDERANDO CAÇAMBA DE 40CM DA RETROESCAVADEIRA</t>
  </si>
  <si>
    <t>CONSIDERANDO PROFUNDIDADE MÉDIA DE ESCAVAÇÃO DE 55CM</t>
  </si>
  <si>
    <t>CONSIDERANDO CORTES TRANSVERSAIS NA PISTA E ACOSTAMENTOS PARA CONSTRUÇÃO DE CAIXA DE SAÍDA</t>
  </si>
  <si>
    <t>CONSIDERANDO CAIXAS DE SAÍDA DE CONCRETO DE 1X1X1m</t>
  </si>
  <si>
    <t>CONSIDERANDO ESCAVAÇÃO EM TERRENO NATURAL (AREIAS) EM DIREÇÃO AO MAR PARA LANÇAMENTO DE TUBOS DE ESGOTAMENTO DA DRENAGEM</t>
  </si>
  <si>
    <t>TRANSVERSAL</t>
  </si>
  <si>
    <t>CAIXAS PASSAGEM</t>
  </si>
  <si>
    <t>4 UNIDADES</t>
  </si>
  <si>
    <t>brita nº 2 (m³)</t>
  </si>
  <si>
    <t>manta geotêxtil (m²)</t>
  </si>
  <si>
    <t>ANEXO I - B</t>
  </si>
  <si>
    <t>ANEXO I - C</t>
  </si>
  <si>
    <t>ANEXO I - D</t>
  </si>
  <si>
    <t>ANEXO I - E</t>
  </si>
  <si>
    <t>PASSEIO E MEIO-FIO</t>
  </si>
  <si>
    <t>micro revestimento 8mm (m²)</t>
  </si>
  <si>
    <t>micro revestimento 15mm (m²)</t>
  </si>
  <si>
    <t>volume escavado (m³) emplolamento 40%</t>
  </si>
  <si>
    <t>MF - massa fina (m²)</t>
  </si>
  <si>
    <t>massa fina cbuq (2,4T/m³) - TON</t>
  </si>
  <si>
    <t>ANEXO I - F</t>
  </si>
  <si>
    <t>Aterro com areia com espessura de 10cm compactado (100,38m³);</t>
  </si>
  <si>
    <t>ÁREA ESTIMADA DE PINTURA DE FAIXAS (10cm) = 2.559,20m²</t>
  </si>
  <si>
    <t>CÁLCULO DE MASSA ASFÁLTICA</t>
  </si>
  <si>
    <t>MICRO REVESTIMENTO 1,5CM</t>
  </si>
  <si>
    <t>ÁREA TOTAL</t>
  </si>
  <si>
    <t>m²</t>
  </si>
  <si>
    <t>CONSUMO DE EMULSÃO ASFÁLTICA</t>
  </si>
  <si>
    <t>t/m²</t>
  </si>
  <si>
    <t>ton</t>
  </si>
  <si>
    <t>MICRO REVESTIMENTO 0,8CM</t>
  </si>
  <si>
    <t>m³</t>
  </si>
  <si>
    <t>t</t>
  </si>
  <si>
    <t>MASSA FINA 2,0CM - CAPA SELANTE</t>
  </si>
  <si>
    <t>t/t</t>
  </si>
  <si>
    <t>PESO DE EMULSÃO ASFÁLTICA - RR-2C</t>
  </si>
  <si>
    <t>PESO DE EMULSÃO ASFÁLTICA RL-1C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</si>
</sst>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&quot;Ativado&quot;;&quot;Ativado&quot;;&quot;Desativado&quot;"/>
    <numFmt numFmtId="189" formatCode="[$€-2]\ #,##0.00_);[Red]\([$€-2]\ #,##0.00\)"/>
    <numFmt numFmtId="190" formatCode="_(* #,##0.000_);_(* \(#,##0.000\);_(* &quot;-&quot;??_);_(@_)"/>
    <numFmt numFmtId="191" formatCode="_(* #,##0.0000_);_(* \(#,##0.00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0" fillId="0" borderId="10" xfId="62" applyFont="1" applyBorder="1" applyAlignment="1">
      <alignment horizontal="center"/>
    </xf>
    <xf numFmtId="171" fontId="0" fillId="0" borderId="11" xfId="62" applyFont="1" applyBorder="1" applyAlignment="1">
      <alignment horizontal="center"/>
    </xf>
    <xf numFmtId="171" fontId="0" fillId="0" borderId="12" xfId="62" applyFont="1" applyBorder="1" applyAlignment="1">
      <alignment horizontal="center"/>
    </xf>
    <xf numFmtId="171" fontId="0" fillId="0" borderId="14" xfId="62" applyFont="1" applyBorder="1" applyAlignment="1">
      <alignment horizontal="center"/>
    </xf>
    <xf numFmtId="171" fontId="0" fillId="0" borderId="0" xfId="62" applyFont="1" applyAlignment="1">
      <alignment/>
    </xf>
    <xf numFmtId="43" fontId="0" fillId="0" borderId="10" xfId="0" applyNumberFormat="1" applyBorder="1" applyAlignment="1">
      <alignment horizontal="center"/>
    </xf>
    <xf numFmtId="43" fontId="0" fillId="0" borderId="0" xfId="0" applyNumberFormat="1" applyAlignment="1">
      <alignment/>
    </xf>
    <xf numFmtId="43" fontId="7" fillId="0" borderId="0" xfId="0" applyNumberFormat="1" applyFont="1" applyAlignment="1">
      <alignment/>
    </xf>
    <xf numFmtId="171" fontId="0" fillId="0" borderId="15" xfId="62" applyFont="1" applyBorder="1" applyAlignment="1">
      <alignment/>
    </xf>
    <xf numFmtId="171" fontId="0" fillId="0" borderId="16" xfId="62" applyFont="1" applyBorder="1" applyAlignment="1">
      <alignment/>
    </xf>
    <xf numFmtId="0" fontId="0" fillId="0" borderId="17" xfId="0" applyBorder="1" applyAlignment="1">
      <alignment horizontal="center"/>
    </xf>
    <xf numFmtId="171" fontId="0" fillId="0" borderId="13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71" fontId="0" fillId="0" borderId="19" xfId="62" applyFont="1" applyBorder="1" applyAlignment="1">
      <alignment horizontal="center" wrapText="1"/>
    </xf>
    <xf numFmtId="171" fontId="0" fillId="0" borderId="20" xfId="62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171" fontId="0" fillId="0" borderId="22" xfId="62" applyFont="1" applyBorder="1" applyAlignment="1">
      <alignment horizontal="center"/>
    </xf>
    <xf numFmtId="0" fontId="0" fillId="0" borderId="23" xfId="0" applyBorder="1" applyAlignment="1">
      <alignment horizontal="center"/>
    </xf>
    <xf numFmtId="171" fontId="0" fillId="0" borderId="24" xfId="62" applyFont="1" applyBorder="1" applyAlignment="1">
      <alignment horizontal="center"/>
    </xf>
    <xf numFmtId="171" fontId="0" fillId="0" borderId="10" xfId="62" applyFont="1" applyBorder="1" applyAlignment="1">
      <alignment/>
    </xf>
    <xf numFmtId="0" fontId="0" fillId="0" borderId="12" xfId="0" applyFont="1" applyBorder="1" applyAlignment="1">
      <alignment horizontal="center" wrapText="1"/>
    </xf>
    <xf numFmtId="171" fontId="0" fillId="0" borderId="12" xfId="62" applyFont="1" applyBorder="1" applyAlignment="1">
      <alignment horizontal="center" wrapText="1"/>
    </xf>
    <xf numFmtId="171" fontId="0" fillId="0" borderId="13" xfId="62" applyFont="1" applyBorder="1" applyAlignment="1">
      <alignment horizontal="center" wrapText="1"/>
    </xf>
    <xf numFmtId="171" fontId="0" fillId="0" borderId="25" xfId="62" applyFont="1" applyBorder="1" applyAlignment="1">
      <alignment horizontal="center"/>
    </xf>
    <xf numFmtId="171" fontId="0" fillId="0" borderId="14" xfId="62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171" fontId="0" fillId="0" borderId="0" xfId="62" applyFont="1" applyBorder="1" applyAlignment="1">
      <alignment wrapText="1"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91" fontId="0" fillId="0" borderId="10" xfId="6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171" fontId="0" fillId="0" borderId="10" xfId="62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57150</xdr:rowOff>
    </xdr:from>
    <xdr:to>
      <xdr:col>2</xdr:col>
      <xdr:colOff>114300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123825</xdr:rowOff>
    </xdr:from>
    <xdr:to>
      <xdr:col>1</xdr:col>
      <xdr:colOff>685800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2</xdr:col>
      <xdr:colOff>57150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123825</xdr:rowOff>
    </xdr:from>
    <xdr:to>
      <xdr:col>1</xdr:col>
      <xdr:colOff>390525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647700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24"/>
  <sheetViews>
    <sheetView showGridLines="0" workbookViewId="0" topLeftCell="A1">
      <selection activeCell="A1" sqref="A1:V125"/>
    </sheetView>
  </sheetViews>
  <sheetFormatPr defaultColWidth="11.421875" defaultRowHeight="12.75"/>
  <cols>
    <col min="1" max="1" width="10.421875" style="0" customWidth="1"/>
    <col min="2" max="2" width="13.140625" style="0" customWidth="1"/>
    <col min="3" max="3" width="18.28125" style="0" customWidth="1"/>
    <col min="4" max="4" width="10.28125" style="0" customWidth="1"/>
    <col min="5" max="5" width="9.28125" style="0" customWidth="1"/>
    <col min="6" max="6" width="16.57421875" style="0" customWidth="1"/>
    <col min="7" max="7" width="10.421875" style="21" customWidth="1"/>
    <col min="8" max="11" width="11.28125" style="21" customWidth="1"/>
    <col min="12" max="12" width="9.28125" style="21" customWidth="1"/>
    <col min="13" max="13" width="10.7109375" style="21" customWidth="1"/>
    <col min="14" max="14" width="10.140625" style="21" customWidth="1"/>
    <col min="15" max="15" width="11.00390625" style="21" customWidth="1"/>
    <col min="16" max="16" width="9.28125" style="21" customWidth="1"/>
    <col min="17" max="17" width="9.8515625" style="0" customWidth="1"/>
    <col min="18" max="18" width="10.140625" style="0" customWidth="1"/>
    <col min="19" max="19" width="9.7109375" style="0" customWidth="1"/>
    <col min="20" max="20" width="7.28125" style="0" hidden="1" customWidth="1"/>
    <col min="21" max="21" width="8.140625" style="0" hidden="1" customWidth="1"/>
    <col min="22" max="22" width="23.140625" style="0" customWidth="1"/>
  </cols>
  <sheetData>
    <row r="1" ht="12.75"/>
    <row r="2" ht="12.75"/>
    <row r="3" ht="12.75"/>
    <row r="4" spans="1:22" ht="12.7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ht="12.75"/>
    <row r="6" spans="1:22" ht="12.75">
      <c r="A6" s="83" t="s">
        <v>113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ht="12.75"/>
    <row r="8" ht="12.75"/>
    <row r="9" spans="1:22" ht="12.75">
      <c r="A9" s="83" t="s">
        <v>92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ht="13.5" thickBot="1"/>
    <row r="11" spans="1:22" ht="51">
      <c r="A11" s="27" t="s">
        <v>14</v>
      </c>
      <c r="B11" s="10" t="s">
        <v>15</v>
      </c>
      <c r="C11" s="10" t="s">
        <v>16</v>
      </c>
      <c r="D11" s="38" t="s">
        <v>17</v>
      </c>
      <c r="E11" s="38" t="s">
        <v>18</v>
      </c>
      <c r="F11" s="38" t="s">
        <v>65</v>
      </c>
      <c r="G11" s="39" t="s">
        <v>54</v>
      </c>
      <c r="H11" s="39" t="s">
        <v>61</v>
      </c>
      <c r="I11" s="39" t="s">
        <v>118</v>
      </c>
      <c r="J11" s="39" t="s">
        <v>117</v>
      </c>
      <c r="K11" s="39" t="s">
        <v>120</v>
      </c>
      <c r="L11" s="39" t="s">
        <v>60</v>
      </c>
      <c r="M11" s="39" t="s">
        <v>62</v>
      </c>
      <c r="N11" s="39" t="s">
        <v>67</v>
      </c>
      <c r="O11" s="39" t="s">
        <v>62</v>
      </c>
      <c r="P11" s="39" t="s">
        <v>59</v>
      </c>
      <c r="Q11" s="38" t="s">
        <v>89</v>
      </c>
      <c r="R11" s="38" t="s">
        <v>90</v>
      </c>
      <c r="S11" s="64" t="s">
        <v>121</v>
      </c>
      <c r="T11" s="38" t="s">
        <v>68</v>
      </c>
      <c r="U11" s="38" t="s">
        <v>69</v>
      </c>
      <c r="V11" s="11" t="s">
        <v>24</v>
      </c>
    </row>
    <row r="12" spans="1:22" ht="25.5">
      <c r="A12" s="77">
        <v>200</v>
      </c>
      <c r="B12" s="5" t="s">
        <v>2</v>
      </c>
      <c r="C12" s="6" t="s">
        <v>57</v>
      </c>
      <c r="D12" s="2">
        <v>0</v>
      </c>
      <c r="E12" s="2">
        <v>0.11</v>
      </c>
      <c r="F12" s="2" t="s">
        <v>53</v>
      </c>
      <c r="G12" s="17">
        <v>3335</v>
      </c>
      <c r="H12" s="17">
        <f aca="true" t="shared" si="0" ref="H12:H37">G12</f>
        <v>3335</v>
      </c>
      <c r="I12" s="17"/>
      <c r="J12" s="17"/>
      <c r="K12" s="17">
        <f>H12</f>
        <v>3335</v>
      </c>
      <c r="L12" s="17">
        <f aca="true" t="shared" si="1" ref="L12:L25">G12*0.02</f>
        <v>66.7</v>
      </c>
      <c r="M12" s="17">
        <f>G12</f>
        <v>3335</v>
      </c>
      <c r="N12" s="17">
        <f>G12*0.045</f>
        <v>150.075</v>
      </c>
      <c r="O12" s="17">
        <f>G12</f>
        <v>3335</v>
      </c>
      <c r="P12" s="17">
        <f>O12*0.04</f>
        <v>133.4</v>
      </c>
      <c r="Q12" s="22">
        <f>N12*2.4</f>
        <v>360.17999999999995</v>
      </c>
      <c r="R12" s="22">
        <f>P12*2.4</f>
        <v>320.16</v>
      </c>
      <c r="S12" s="22">
        <f>L12*2.4</f>
        <v>160.08</v>
      </c>
      <c r="T12" s="2"/>
      <c r="U12" s="2"/>
      <c r="V12" s="84" t="s">
        <v>70</v>
      </c>
    </row>
    <row r="13" spans="1:22" ht="12.75">
      <c r="A13" s="77"/>
      <c r="B13" s="5"/>
      <c r="C13" s="6" t="s">
        <v>57</v>
      </c>
      <c r="D13" s="2">
        <v>0</v>
      </c>
      <c r="E13" s="2">
        <v>0.11</v>
      </c>
      <c r="F13" s="2" t="s">
        <v>55</v>
      </c>
      <c r="G13" s="17">
        <v>3395</v>
      </c>
      <c r="H13" s="17">
        <f t="shared" si="0"/>
        <v>3395</v>
      </c>
      <c r="I13" s="17"/>
      <c r="J13" s="17"/>
      <c r="K13" s="17">
        <f aca="true" t="shared" si="2" ref="K13:K22">H13</f>
        <v>3395</v>
      </c>
      <c r="L13" s="17">
        <f t="shared" si="1"/>
        <v>67.9</v>
      </c>
      <c r="M13" s="17">
        <f>G13</f>
        <v>3395</v>
      </c>
      <c r="N13" s="17">
        <f>G13*0.045</f>
        <v>152.775</v>
      </c>
      <c r="O13" s="17">
        <f>G13</f>
        <v>3395</v>
      </c>
      <c r="P13" s="17">
        <f>O13*0.04</f>
        <v>135.8</v>
      </c>
      <c r="Q13" s="22">
        <f aca="true" t="shared" si="3" ref="Q13:Q51">N13*2.4</f>
        <v>366.66</v>
      </c>
      <c r="R13" s="22">
        <f aca="true" t="shared" si="4" ref="R13:R51">P13*2.4</f>
        <v>325.92</v>
      </c>
      <c r="S13" s="22">
        <f aca="true" t="shared" si="5" ref="S13:S51">L13*2.4</f>
        <v>162.96</v>
      </c>
      <c r="T13" s="2"/>
      <c r="U13" s="2"/>
      <c r="V13" s="84"/>
    </row>
    <row r="14" spans="1:22" ht="25.5">
      <c r="A14" s="77"/>
      <c r="B14" s="5" t="s">
        <v>57</v>
      </c>
      <c r="C14" s="5" t="s">
        <v>58</v>
      </c>
      <c r="D14" s="2">
        <v>0.11</v>
      </c>
      <c r="E14" s="2">
        <v>0.19</v>
      </c>
      <c r="F14" s="2" t="s">
        <v>56</v>
      </c>
      <c r="G14" s="17">
        <v>2054</v>
      </c>
      <c r="H14" s="17">
        <f t="shared" si="0"/>
        <v>2054</v>
      </c>
      <c r="I14" s="17"/>
      <c r="J14" s="17"/>
      <c r="K14" s="17">
        <f t="shared" si="2"/>
        <v>2054</v>
      </c>
      <c r="L14" s="17">
        <f t="shared" si="1"/>
        <v>41.08</v>
      </c>
      <c r="M14" s="17">
        <f>G14</f>
        <v>2054</v>
      </c>
      <c r="N14" s="17">
        <f>G14*0.045</f>
        <v>92.42999999999999</v>
      </c>
      <c r="O14" s="17">
        <f>G14</f>
        <v>2054</v>
      </c>
      <c r="P14" s="17">
        <f>O14*0.04</f>
        <v>82.16</v>
      </c>
      <c r="Q14" s="22">
        <f t="shared" si="3"/>
        <v>221.83199999999997</v>
      </c>
      <c r="R14" s="22">
        <f t="shared" si="4"/>
        <v>197.184</v>
      </c>
      <c r="S14" s="22">
        <f t="shared" si="5"/>
        <v>98.592</v>
      </c>
      <c r="T14" s="2"/>
      <c r="U14" s="2"/>
      <c r="V14" s="84"/>
    </row>
    <row r="15" spans="1:22" ht="12.75">
      <c r="A15" s="77"/>
      <c r="B15" s="5"/>
      <c r="C15" s="6"/>
      <c r="D15" s="2">
        <v>0.19</v>
      </c>
      <c r="E15" s="2">
        <v>0.43</v>
      </c>
      <c r="F15" s="2" t="s">
        <v>63</v>
      </c>
      <c r="G15" s="17"/>
      <c r="H15" s="17">
        <f t="shared" si="0"/>
        <v>0</v>
      </c>
      <c r="I15" s="17"/>
      <c r="J15" s="17"/>
      <c r="K15" s="17">
        <f t="shared" si="2"/>
        <v>0</v>
      </c>
      <c r="L15" s="17">
        <f t="shared" si="1"/>
        <v>0</v>
      </c>
      <c r="M15" s="17"/>
      <c r="N15" s="17"/>
      <c r="O15" s="17">
        <f>G15</f>
        <v>0</v>
      </c>
      <c r="P15" s="17">
        <f>G15*0.045</f>
        <v>0</v>
      </c>
      <c r="Q15" s="22">
        <f t="shared" si="3"/>
        <v>0</v>
      </c>
      <c r="R15" s="22">
        <f t="shared" si="4"/>
        <v>0</v>
      </c>
      <c r="S15" s="22">
        <f t="shared" si="5"/>
        <v>0</v>
      </c>
      <c r="T15" s="2"/>
      <c r="U15" s="2"/>
      <c r="V15" s="50"/>
    </row>
    <row r="16" spans="1:22" ht="12.75">
      <c r="A16" s="77"/>
      <c r="B16" s="5"/>
      <c r="C16" s="6"/>
      <c r="D16" s="2">
        <v>0.19</v>
      </c>
      <c r="E16" s="2">
        <v>0.43</v>
      </c>
      <c r="F16" s="2" t="s">
        <v>64</v>
      </c>
      <c r="G16" s="17"/>
      <c r="H16" s="17">
        <f t="shared" si="0"/>
        <v>0</v>
      </c>
      <c r="I16" s="17"/>
      <c r="J16" s="17"/>
      <c r="K16" s="17">
        <f t="shared" si="2"/>
        <v>0</v>
      </c>
      <c r="L16" s="17">
        <f t="shared" si="1"/>
        <v>0</v>
      </c>
      <c r="M16" s="17"/>
      <c r="N16" s="17"/>
      <c r="O16" s="17"/>
      <c r="P16" s="17"/>
      <c r="Q16" s="22">
        <f t="shared" si="3"/>
        <v>0</v>
      </c>
      <c r="R16" s="22">
        <f t="shared" si="4"/>
        <v>0</v>
      </c>
      <c r="S16" s="22">
        <f t="shared" si="5"/>
        <v>0</v>
      </c>
      <c r="T16" s="2"/>
      <c r="U16" s="2"/>
      <c r="V16" s="50"/>
    </row>
    <row r="17" spans="1:22" ht="12.75">
      <c r="A17" s="77"/>
      <c r="B17" s="6"/>
      <c r="C17" s="6"/>
      <c r="D17" s="2">
        <v>0.43</v>
      </c>
      <c r="E17" s="2">
        <v>0.53</v>
      </c>
      <c r="F17" s="2" t="s">
        <v>63</v>
      </c>
      <c r="G17" s="17"/>
      <c r="H17" s="17">
        <f t="shared" si="0"/>
        <v>0</v>
      </c>
      <c r="I17" s="17"/>
      <c r="J17" s="17"/>
      <c r="K17" s="17">
        <f t="shared" si="2"/>
        <v>0</v>
      </c>
      <c r="L17" s="17">
        <f t="shared" si="1"/>
        <v>0</v>
      </c>
      <c r="M17" s="17">
        <f>H17</f>
        <v>0</v>
      </c>
      <c r="N17" s="17">
        <f>M17*0.035</f>
        <v>0</v>
      </c>
      <c r="O17" s="17">
        <f>M17</f>
        <v>0</v>
      </c>
      <c r="P17" s="17">
        <f>O17*0.03</f>
        <v>0</v>
      </c>
      <c r="Q17" s="22">
        <f t="shared" si="3"/>
        <v>0</v>
      </c>
      <c r="R17" s="22">
        <f t="shared" si="4"/>
        <v>0</v>
      </c>
      <c r="S17" s="22">
        <f t="shared" si="5"/>
        <v>0</v>
      </c>
      <c r="T17" s="2"/>
      <c r="U17" s="2"/>
      <c r="V17" s="65"/>
    </row>
    <row r="18" spans="1:22" ht="12.75">
      <c r="A18" s="77"/>
      <c r="B18" s="6"/>
      <c r="C18" s="6"/>
      <c r="D18" s="2">
        <v>0.43</v>
      </c>
      <c r="E18" s="2">
        <v>0.53</v>
      </c>
      <c r="F18" s="2" t="s">
        <v>64</v>
      </c>
      <c r="G18" s="17"/>
      <c r="H18" s="17">
        <f t="shared" si="0"/>
        <v>0</v>
      </c>
      <c r="I18" s="17"/>
      <c r="J18" s="17"/>
      <c r="K18" s="17">
        <f t="shared" si="2"/>
        <v>0</v>
      </c>
      <c r="L18" s="17">
        <f t="shared" si="1"/>
        <v>0</v>
      </c>
      <c r="M18" s="17"/>
      <c r="N18" s="17"/>
      <c r="O18" s="17"/>
      <c r="P18" s="17"/>
      <c r="Q18" s="22">
        <f t="shared" si="3"/>
        <v>0</v>
      </c>
      <c r="R18" s="22">
        <f t="shared" si="4"/>
        <v>0</v>
      </c>
      <c r="S18" s="22">
        <f t="shared" si="5"/>
        <v>0</v>
      </c>
      <c r="T18" s="2"/>
      <c r="U18" s="2"/>
      <c r="V18" s="50"/>
    </row>
    <row r="19" spans="1:22" ht="12.75">
      <c r="A19" s="77"/>
      <c r="B19" s="6"/>
      <c r="C19" s="6"/>
      <c r="D19" s="2">
        <v>0.53</v>
      </c>
      <c r="E19" s="2">
        <v>0.67</v>
      </c>
      <c r="F19" s="2" t="s">
        <v>63</v>
      </c>
      <c r="G19" s="17"/>
      <c r="H19" s="17">
        <f t="shared" si="0"/>
        <v>0</v>
      </c>
      <c r="I19" s="17"/>
      <c r="J19" s="17"/>
      <c r="K19" s="17">
        <f t="shared" si="2"/>
        <v>0</v>
      </c>
      <c r="L19" s="17">
        <f t="shared" si="1"/>
        <v>0</v>
      </c>
      <c r="M19" s="17"/>
      <c r="N19" s="17"/>
      <c r="O19" s="17">
        <f>G19</f>
        <v>0</v>
      </c>
      <c r="P19" s="17">
        <f>G19*0.035</f>
        <v>0</v>
      </c>
      <c r="Q19" s="22">
        <f t="shared" si="3"/>
        <v>0</v>
      </c>
      <c r="R19" s="22">
        <f t="shared" si="4"/>
        <v>0</v>
      </c>
      <c r="S19" s="22">
        <f t="shared" si="5"/>
        <v>0</v>
      </c>
      <c r="T19" s="2"/>
      <c r="U19" s="2"/>
      <c r="V19" s="50"/>
    </row>
    <row r="20" spans="1:22" ht="12.75">
      <c r="A20" s="77"/>
      <c r="B20" s="6"/>
      <c r="C20" s="6"/>
      <c r="D20" s="2">
        <v>0.53</v>
      </c>
      <c r="E20" s="2">
        <v>0.67</v>
      </c>
      <c r="F20" s="2" t="s">
        <v>64</v>
      </c>
      <c r="G20" s="17"/>
      <c r="H20" s="17">
        <f t="shared" si="0"/>
        <v>0</v>
      </c>
      <c r="I20" s="17"/>
      <c r="J20" s="17"/>
      <c r="K20" s="17">
        <f t="shared" si="2"/>
        <v>0</v>
      </c>
      <c r="L20" s="17">
        <f t="shared" si="1"/>
        <v>0</v>
      </c>
      <c r="M20" s="17"/>
      <c r="N20" s="17"/>
      <c r="O20" s="17"/>
      <c r="P20" s="17"/>
      <c r="Q20" s="22">
        <f t="shared" si="3"/>
        <v>0</v>
      </c>
      <c r="R20" s="22">
        <f t="shared" si="4"/>
        <v>0</v>
      </c>
      <c r="S20" s="22">
        <f t="shared" si="5"/>
        <v>0</v>
      </c>
      <c r="T20" s="2"/>
      <c r="U20" s="2"/>
      <c r="V20" s="50"/>
    </row>
    <row r="21" spans="1:22" ht="12.75">
      <c r="A21" s="77"/>
      <c r="B21" s="6"/>
      <c r="C21" s="7" t="s">
        <v>28</v>
      </c>
      <c r="D21" s="2">
        <v>0.67</v>
      </c>
      <c r="E21" s="2">
        <v>1.105</v>
      </c>
      <c r="F21" s="2" t="s">
        <v>63</v>
      </c>
      <c r="G21" s="17"/>
      <c r="H21" s="17">
        <f t="shared" si="0"/>
        <v>0</v>
      </c>
      <c r="I21" s="17"/>
      <c r="J21" s="17"/>
      <c r="K21" s="17">
        <f t="shared" si="2"/>
        <v>0</v>
      </c>
      <c r="L21" s="17">
        <f t="shared" si="1"/>
        <v>0</v>
      </c>
      <c r="M21" s="17"/>
      <c r="N21" s="17"/>
      <c r="O21" s="17">
        <f>G21</f>
        <v>0</v>
      </c>
      <c r="P21" s="17">
        <f>G21*0.04</f>
        <v>0</v>
      </c>
      <c r="Q21" s="22">
        <f t="shared" si="3"/>
        <v>0</v>
      </c>
      <c r="R21" s="22">
        <f t="shared" si="4"/>
        <v>0</v>
      </c>
      <c r="S21" s="22">
        <f t="shared" si="5"/>
        <v>0</v>
      </c>
      <c r="T21" s="2"/>
      <c r="U21" s="2"/>
      <c r="V21" s="50"/>
    </row>
    <row r="22" spans="1:22" ht="12.75">
      <c r="A22" s="77"/>
      <c r="B22" s="6"/>
      <c r="C22" s="7" t="s">
        <v>28</v>
      </c>
      <c r="D22" s="2">
        <v>0.67</v>
      </c>
      <c r="E22" s="2">
        <v>1.105</v>
      </c>
      <c r="F22" s="2" t="s">
        <v>64</v>
      </c>
      <c r="G22" s="17"/>
      <c r="H22" s="17">
        <f t="shared" si="0"/>
        <v>0</v>
      </c>
      <c r="I22" s="17"/>
      <c r="J22" s="17"/>
      <c r="K22" s="17">
        <f t="shared" si="2"/>
        <v>0</v>
      </c>
      <c r="L22" s="17">
        <f t="shared" si="1"/>
        <v>0</v>
      </c>
      <c r="M22" s="17"/>
      <c r="N22" s="17"/>
      <c r="O22" s="17"/>
      <c r="P22" s="17"/>
      <c r="Q22" s="22">
        <f t="shared" si="3"/>
        <v>0</v>
      </c>
      <c r="R22" s="22">
        <f t="shared" si="4"/>
        <v>0</v>
      </c>
      <c r="S22" s="22">
        <f t="shared" si="5"/>
        <v>0</v>
      </c>
      <c r="T22" s="2"/>
      <c r="U22" s="2"/>
      <c r="V22" s="50"/>
    </row>
    <row r="23" spans="1:22" ht="12.75">
      <c r="A23" s="51" t="s">
        <v>28</v>
      </c>
      <c r="B23" s="7" t="s">
        <v>15</v>
      </c>
      <c r="C23" s="7" t="s">
        <v>16</v>
      </c>
      <c r="D23" s="2">
        <v>1.105</v>
      </c>
      <c r="E23" s="2">
        <v>1.6</v>
      </c>
      <c r="F23" s="4" t="s">
        <v>71</v>
      </c>
      <c r="G23" s="17">
        <f>(E23-D23)*1000*8</f>
        <v>3960.000000000001</v>
      </c>
      <c r="H23" s="17">
        <f t="shared" si="0"/>
        <v>3960.000000000001</v>
      </c>
      <c r="I23" s="17"/>
      <c r="J23" s="17">
        <f>H23</f>
        <v>3960.000000000001</v>
      </c>
      <c r="K23" s="17"/>
      <c r="L23" s="17"/>
      <c r="M23" s="17"/>
      <c r="N23" s="17"/>
      <c r="O23" s="17"/>
      <c r="P23" s="17"/>
      <c r="Q23" s="22">
        <f t="shared" si="3"/>
        <v>0</v>
      </c>
      <c r="R23" s="22">
        <f t="shared" si="4"/>
        <v>0</v>
      </c>
      <c r="S23" s="22">
        <f t="shared" si="5"/>
        <v>0</v>
      </c>
      <c r="T23" s="2"/>
      <c r="U23" s="2"/>
      <c r="V23" s="50" t="s">
        <v>72</v>
      </c>
    </row>
    <row r="24" spans="1:22" ht="15.75" customHeight="1">
      <c r="A24" s="51"/>
      <c r="B24" s="7" t="s">
        <v>28</v>
      </c>
      <c r="C24" s="6"/>
      <c r="D24" s="2">
        <v>0</v>
      </c>
      <c r="E24" s="2">
        <v>0.03</v>
      </c>
      <c r="F24" s="4" t="s">
        <v>63</v>
      </c>
      <c r="G24" s="17">
        <f>(E24-D24)*1000*7.2</f>
        <v>216</v>
      </c>
      <c r="H24" s="17">
        <f t="shared" si="0"/>
        <v>216</v>
      </c>
      <c r="I24" s="17"/>
      <c r="J24" s="17"/>
      <c r="K24" s="17">
        <f>H24</f>
        <v>216</v>
      </c>
      <c r="L24" s="17">
        <f t="shared" si="1"/>
        <v>4.32</v>
      </c>
      <c r="M24" s="17"/>
      <c r="N24" s="17"/>
      <c r="O24" s="17">
        <f>G24</f>
        <v>216</v>
      </c>
      <c r="P24" s="17">
        <f>G24*0.035</f>
        <v>7.5600000000000005</v>
      </c>
      <c r="Q24" s="22">
        <f t="shared" si="3"/>
        <v>0</v>
      </c>
      <c r="R24" s="22">
        <f t="shared" si="4"/>
        <v>18.144000000000002</v>
      </c>
      <c r="S24" s="22">
        <f t="shared" si="5"/>
        <v>10.368</v>
      </c>
      <c r="T24" s="2"/>
      <c r="U24" s="2"/>
      <c r="V24" s="50" t="s">
        <v>26</v>
      </c>
    </row>
    <row r="25" spans="1:22" ht="18" customHeight="1">
      <c r="A25" s="85" t="s">
        <v>29</v>
      </c>
      <c r="B25" s="7" t="s">
        <v>28</v>
      </c>
      <c r="C25" s="6"/>
      <c r="D25" s="2">
        <v>0</v>
      </c>
      <c r="E25" s="2">
        <v>0.03</v>
      </c>
      <c r="F25" s="4" t="s">
        <v>64</v>
      </c>
      <c r="G25" s="17">
        <f>(E25-D25)*1000*5</f>
        <v>150</v>
      </c>
      <c r="H25" s="17">
        <f t="shared" si="0"/>
        <v>150</v>
      </c>
      <c r="I25" s="17"/>
      <c r="J25" s="17"/>
      <c r="K25" s="17">
        <f>H25</f>
        <v>150</v>
      </c>
      <c r="L25" s="17">
        <f t="shared" si="1"/>
        <v>3</v>
      </c>
      <c r="M25" s="17"/>
      <c r="N25" s="17"/>
      <c r="O25" s="17"/>
      <c r="P25" s="17"/>
      <c r="Q25" s="22">
        <f t="shared" si="3"/>
        <v>0</v>
      </c>
      <c r="R25" s="22">
        <f t="shared" si="4"/>
        <v>0</v>
      </c>
      <c r="S25" s="22">
        <f t="shared" si="5"/>
        <v>7.199999999999999</v>
      </c>
      <c r="T25" s="2"/>
      <c r="U25" s="2"/>
      <c r="V25" s="50" t="s">
        <v>66</v>
      </c>
    </row>
    <row r="26" spans="1:22" ht="12.75">
      <c r="A26" s="85"/>
      <c r="B26" s="6"/>
      <c r="C26" s="6"/>
      <c r="D26" s="2">
        <v>0.03</v>
      </c>
      <c r="E26" s="2">
        <v>0.15</v>
      </c>
      <c r="F26" s="4" t="s">
        <v>63</v>
      </c>
      <c r="G26" s="17">
        <f>(E26-D26)*1000*7.2</f>
        <v>864</v>
      </c>
      <c r="H26" s="17">
        <f t="shared" si="0"/>
        <v>864</v>
      </c>
      <c r="I26" s="17"/>
      <c r="J26" s="17"/>
      <c r="K26" s="17"/>
      <c r="L26" s="17"/>
      <c r="M26" s="17"/>
      <c r="N26" s="17">
        <f>H26*0.04</f>
        <v>34.56</v>
      </c>
      <c r="O26" s="17">
        <f>H26</f>
        <v>864</v>
      </c>
      <c r="P26" s="17">
        <f>O26*0.035</f>
        <v>30.240000000000002</v>
      </c>
      <c r="Q26" s="22">
        <f t="shared" si="3"/>
        <v>82.944</v>
      </c>
      <c r="R26" s="22">
        <f t="shared" si="4"/>
        <v>72.57600000000001</v>
      </c>
      <c r="S26" s="22">
        <f t="shared" si="5"/>
        <v>0</v>
      </c>
      <c r="T26" s="2"/>
      <c r="U26" s="2"/>
      <c r="V26" s="84" t="s">
        <v>73</v>
      </c>
    </row>
    <row r="27" spans="1:22" ht="12.75">
      <c r="A27" s="85"/>
      <c r="B27" s="6"/>
      <c r="C27" s="6"/>
      <c r="D27" s="2">
        <v>0.03</v>
      </c>
      <c r="E27" s="2">
        <v>0.15</v>
      </c>
      <c r="F27" s="4" t="s">
        <v>64</v>
      </c>
      <c r="G27" s="17">
        <f>(E27-D27)*1000*5</f>
        <v>600</v>
      </c>
      <c r="H27" s="17">
        <f t="shared" si="0"/>
        <v>600</v>
      </c>
      <c r="I27" s="17"/>
      <c r="J27" s="17"/>
      <c r="K27" s="17"/>
      <c r="L27" s="17"/>
      <c r="M27" s="17"/>
      <c r="N27" s="17">
        <f>H27*0.04</f>
        <v>24</v>
      </c>
      <c r="O27" s="17">
        <f>H27</f>
        <v>600</v>
      </c>
      <c r="P27" s="17">
        <f>O27*0.035</f>
        <v>21.000000000000004</v>
      </c>
      <c r="Q27" s="22">
        <f t="shared" si="3"/>
        <v>57.599999999999994</v>
      </c>
      <c r="R27" s="22">
        <f t="shared" si="4"/>
        <v>50.400000000000006</v>
      </c>
      <c r="S27" s="22">
        <f t="shared" si="5"/>
        <v>0</v>
      </c>
      <c r="T27" s="2"/>
      <c r="U27" s="2"/>
      <c r="V27" s="84"/>
    </row>
    <row r="28" spans="1:22" ht="12.75">
      <c r="A28" s="85"/>
      <c r="B28" s="6"/>
      <c r="C28" s="6"/>
      <c r="D28" s="2">
        <v>0.15</v>
      </c>
      <c r="E28" s="2">
        <v>0.25</v>
      </c>
      <c r="F28" s="4" t="s">
        <v>63</v>
      </c>
      <c r="G28" s="17">
        <f>(E28-D28)*1000*7.2</f>
        <v>720</v>
      </c>
      <c r="H28" s="17">
        <f t="shared" si="0"/>
        <v>720</v>
      </c>
      <c r="I28" s="17"/>
      <c r="J28" s="17"/>
      <c r="K28" s="17">
        <f>H28</f>
        <v>720</v>
      </c>
      <c r="L28" s="17">
        <f>H28*0.02</f>
        <v>14.4</v>
      </c>
      <c r="M28" s="17"/>
      <c r="N28" s="17"/>
      <c r="O28" s="17">
        <f>H28</f>
        <v>720</v>
      </c>
      <c r="P28" s="17">
        <f>O28*0.04</f>
        <v>28.8</v>
      </c>
      <c r="Q28" s="22">
        <f t="shared" si="3"/>
        <v>0</v>
      </c>
      <c r="R28" s="22">
        <f t="shared" si="4"/>
        <v>69.12</v>
      </c>
      <c r="S28" s="22">
        <f t="shared" si="5"/>
        <v>34.56</v>
      </c>
      <c r="T28" s="2"/>
      <c r="U28" s="2"/>
      <c r="V28" s="50" t="s">
        <v>27</v>
      </c>
    </row>
    <row r="29" spans="1:22" ht="12.75">
      <c r="A29" s="85"/>
      <c r="B29" s="6"/>
      <c r="C29" s="6"/>
      <c r="D29" s="2">
        <v>0.15</v>
      </c>
      <c r="E29" s="2">
        <v>0.25</v>
      </c>
      <c r="F29" s="4" t="s">
        <v>64</v>
      </c>
      <c r="G29" s="17">
        <f>(E29-D29)*1000*5</f>
        <v>500</v>
      </c>
      <c r="H29" s="17">
        <f t="shared" si="0"/>
        <v>500</v>
      </c>
      <c r="I29" s="17"/>
      <c r="J29" s="17"/>
      <c r="K29" s="17">
        <f>H29</f>
        <v>500</v>
      </c>
      <c r="L29" s="17">
        <f>H29*0.02</f>
        <v>10</v>
      </c>
      <c r="M29" s="17"/>
      <c r="N29" s="17"/>
      <c r="O29" s="17"/>
      <c r="P29" s="17"/>
      <c r="Q29" s="22">
        <f t="shared" si="3"/>
        <v>0</v>
      </c>
      <c r="R29" s="22">
        <f t="shared" si="4"/>
        <v>0</v>
      </c>
      <c r="S29" s="22">
        <f t="shared" si="5"/>
        <v>24</v>
      </c>
      <c r="T29" s="2"/>
      <c r="U29" s="2"/>
      <c r="V29" s="50" t="s">
        <v>66</v>
      </c>
    </row>
    <row r="30" spans="1:22" ht="38.25">
      <c r="A30" s="85"/>
      <c r="B30" s="6"/>
      <c r="C30" s="6"/>
      <c r="D30" s="2">
        <v>0.25</v>
      </c>
      <c r="E30" s="2">
        <v>0.41</v>
      </c>
      <c r="F30" s="4" t="s">
        <v>63</v>
      </c>
      <c r="G30" s="17">
        <f>(E30-D30)*1000*7.2</f>
        <v>1151.9999999999998</v>
      </c>
      <c r="H30" s="17">
        <f t="shared" si="0"/>
        <v>1151.9999999999998</v>
      </c>
      <c r="I30" s="17"/>
      <c r="J30" s="17"/>
      <c r="K30" s="17">
        <f>H30</f>
        <v>1151.9999999999998</v>
      </c>
      <c r="L30" s="17">
        <f>H30*0.02</f>
        <v>23.039999999999996</v>
      </c>
      <c r="M30" s="17">
        <f>H30</f>
        <v>1151.9999999999998</v>
      </c>
      <c r="N30" s="17">
        <f>M30*0.04</f>
        <v>46.07999999999999</v>
      </c>
      <c r="O30" s="17">
        <f>M30</f>
        <v>1151.9999999999998</v>
      </c>
      <c r="P30" s="17">
        <f>O30*0.04</f>
        <v>46.07999999999999</v>
      </c>
      <c r="Q30" s="22">
        <f t="shared" si="3"/>
        <v>110.59199999999997</v>
      </c>
      <c r="R30" s="22">
        <f t="shared" si="4"/>
        <v>110.59199999999997</v>
      </c>
      <c r="S30" s="22">
        <f t="shared" si="5"/>
        <v>55.295999999999985</v>
      </c>
      <c r="T30" s="2"/>
      <c r="U30" s="2"/>
      <c r="V30" s="65" t="s">
        <v>74</v>
      </c>
    </row>
    <row r="31" spans="1:22" ht="12.75">
      <c r="A31" s="85"/>
      <c r="B31" s="6"/>
      <c r="C31" s="6"/>
      <c r="D31" s="2">
        <v>0.25</v>
      </c>
      <c r="E31" s="2">
        <v>0.41</v>
      </c>
      <c r="F31" s="4" t="s">
        <v>64</v>
      </c>
      <c r="G31" s="17">
        <f>(E31-D31)*1000*5</f>
        <v>799.9999999999999</v>
      </c>
      <c r="H31" s="17">
        <f t="shared" si="0"/>
        <v>799.9999999999999</v>
      </c>
      <c r="I31" s="17"/>
      <c r="J31" s="17"/>
      <c r="K31" s="17">
        <f>H31</f>
        <v>799.9999999999999</v>
      </c>
      <c r="L31" s="17">
        <f>H31*0.02</f>
        <v>15.999999999999998</v>
      </c>
      <c r="M31" s="17"/>
      <c r="N31" s="17"/>
      <c r="O31" s="17"/>
      <c r="P31" s="17"/>
      <c r="Q31" s="22">
        <f t="shared" si="3"/>
        <v>0</v>
      </c>
      <c r="R31" s="22">
        <f t="shared" si="4"/>
        <v>0</v>
      </c>
      <c r="S31" s="22">
        <f t="shared" si="5"/>
        <v>38.39999999999999</v>
      </c>
      <c r="T31" s="2"/>
      <c r="U31" s="2"/>
      <c r="V31" s="50" t="s">
        <v>66</v>
      </c>
    </row>
    <row r="32" spans="1:22" ht="12.75">
      <c r="A32" s="85"/>
      <c r="B32" s="6"/>
      <c r="C32" s="6"/>
      <c r="D32" s="2">
        <v>0.41</v>
      </c>
      <c r="E32" s="2">
        <v>0.55</v>
      </c>
      <c r="F32" s="4" t="s">
        <v>63</v>
      </c>
      <c r="G32" s="17">
        <f>(E32-D32)*1000*7.2</f>
        <v>1008.0000000000005</v>
      </c>
      <c r="H32" s="17">
        <f t="shared" si="0"/>
        <v>1008.0000000000005</v>
      </c>
      <c r="I32" s="17"/>
      <c r="J32" s="17"/>
      <c r="K32" s="17"/>
      <c r="L32" s="17"/>
      <c r="M32" s="17"/>
      <c r="N32" s="17">
        <f>H32*0.04</f>
        <v>40.32000000000002</v>
      </c>
      <c r="O32" s="17">
        <f>H32</f>
        <v>1008.0000000000005</v>
      </c>
      <c r="P32" s="17">
        <f>O32*0.035</f>
        <v>35.28000000000002</v>
      </c>
      <c r="Q32" s="22">
        <f t="shared" si="3"/>
        <v>96.76800000000004</v>
      </c>
      <c r="R32" s="22">
        <f t="shared" si="4"/>
        <v>84.67200000000005</v>
      </c>
      <c r="S32" s="22">
        <f t="shared" si="5"/>
        <v>0</v>
      </c>
      <c r="T32" s="2"/>
      <c r="U32" s="2"/>
      <c r="V32" s="84" t="s">
        <v>73</v>
      </c>
    </row>
    <row r="33" spans="1:22" ht="12.75">
      <c r="A33" s="85"/>
      <c r="B33" s="6"/>
      <c r="C33" s="6"/>
      <c r="D33" s="2">
        <v>0.41</v>
      </c>
      <c r="E33" s="2">
        <v>0.55</v>
      </c>
      <c r="F33" s="4" t="s">
        <v>64</v>
      </c>
      <c r="G33" s="17">
        <f>(E33-D33)*1000*5</f>
        <v>700.0000000000002</v>
      </c>
      <c r="H33" s="17">
        <f t="shared" si="0"/>
        <v>700.0000000000002</v>
      </c>
      <c r="I33" s="17"/>
      <c r="J33" s="17"/>
      <c r="K33" s="17"/>
      <c r="L33" s="17"/>
      <c r="M33" s="17"/>
      <c r="N33" s="17">
        <f>H33*0.04</f>
        <v>28.00000000000001</v>
      </c>
      <c r="O33" s="17">
        <f>H33</f>
        <v>700.0000000000002</v>
      </c>
      <c r="P33" s="17">
        <f>O33*0.035</f>
        <v>24.50000000000001</v>
      </c>
      <c r="Q33" s="22">
        <f t="shared" si="3"/>
        <v>67.20000000000002</v>
      </c>
      <c r="R33" s="22">
        <f t="shared" si="4"/>
        <v>58.800000000000026</v>
      </c>
      <c r="S33" s="22">
        <f t="shared" si="5"/>
        <v>0</v>
      </c>
      <c r="T33" s="2"/>
      <c r="U33" s="2"/>
      <c r="V33" s="84"/>
    </row>
    <row r="34" spans="1:22" ht="12.75">
      <c r="A34" s="85"/>
      <c r="B34" s="6"/>
      <c r="C34" s="6"/>
      <c r="D34" s="2">
        <v>0.55</v>
      </c>
      <c r="E34" s="2">
        <v>0.65</v>
      </c>
      <c r="F34" s="4" t="s">
        <v>63</v>
      </c>
      <c r="G34" s="17">
        <f>(E34-D34)*1000*7.2</f>
        <v>719.9999999999998</v>
      </c>
      <c r="H34" s="17">
        <f t="shared" si="0"/>
        <v>719.9999999999998</v>
      </c>
      <c r="I34" s="17"/>
      <c r="J34" s="17"/>
      <c r="K34" s="17">
        <f>H34</f>
        <v>719.9999999999998</v>
      </c>
      <c r="L34" s="17">
        <f>G34*0.02</f>
        <v>14.399999999999995</v>
      </c>
      <c r="M34" s="17"/>
      <c r="N34" s="17"/>
      <c r="O34" s="17">
        <f>G34</f>
        <v>719.9999999999998</v>
      </c>
      <c r="P34" s="17">
        <f>G34*0.035</f>
        <v>25.199999999999996</v>
      </c>
      <c r="Q34" s="22">
        <f t="shared" si="3"/>
        <v>0</v>
      </c>
      <c r="R34" s="22">
        <f t="shared" si="4"/>
        <v>60.47999999999999</v>
      </c>
      <c r="S34" s="22">
        <f t="shared" si="5"/>
        <v>34.55999999999999</v>
      </c>
      <c r="T34" s="2"/>
      <c r="U34" s="2"/>
      <c r="V34" s="50" t="s">
        <v>26</v>
      </c>
    </row>
    <row r="35" spans="1:22" ht="12.75">
      <c r="A35" s="85"/>
      <c r="B35" s="6"/>
      <c r="C35" s="6"/>
      <c r="D35" s="2">
        <v>0.55</v>
      </c>
      <c r="E35" s="2">
        <v>0.65</v>
      </c>
      <c r="F35" s="4" t="s">
        <v>64</v>
      </c>
      <c r="G35" s="17">
        <f>(E35-D35)*1000*5</f>
        <v>499.9999999999999</v>
      </c>
      <c r="H35" s="17">
        <f t="shared" si="0"/>
        <v>499.9999999999999</v>
      </c>
      <c r="I35" s="17"/>
      <c r="J35" s="17"/>
      <c r="K35" s="17">
        <f>H35</f>
        <v>499.9999999999999</v>
      </c>
      <c r="L35" s="17">
        <f>G35*0.02</f>
        <v>9.999999999999998</v>
      </c>
      <c r="M35" s="17"/>
      <c r="N35" s="17"/>
      <c r="O35" s="17"/>
      <c r="P35" s="17"/>
      <c r="Q35" s="22">
        <f t="shared" si="3"/>
        <v>0</v>
      </c>
      <c r="R35" s="22">
        <f t="shared" si="4"/>
        <v>0</v>
      </c>
      <c r="S35" s="22">
        <f t="shared" si="5"/>
        <v>23.999999999999996</v>
      </c>
      <c r="T35" s="2"/>
      <c r="U35" s="2"/>
      <c r="V35" s="50" t="s">
        <v>66</v>
      </c>
    </row>
    <row r="36" spans="1:22" ht="38.25">
      <c r="A36" s="85"/>
      <c r="B36" s="6"/>
      <c r="C36" s="6"/>
      <c r="D36" s="2">
        <v>0.65</v>
      </c>
      <c r="E36" s="2">
        <v>1.45</v>
      </c>
      <c r="F36" s="4" t="s">
        <v>63</v>
      </c>
      <c r="G36" s="17">
        <f>(E36-D36)*1000*7.2</f>
        <v>5759.999999999999</v>
      </c>
      <c r="H36" s="17">
        <f t="shared" si="0"/>
        <v>5759.999999999999</v>
      </c>
      <c r="I36" s="17"/>
      <c r="J36" s="17"/>
      <c r="K36" s="17">
        <f>H36</f>
        <v>5759.999999999999</v>
      </c>
      <c r="L36" s="17">
        <f>G36*0.02</f>
        <v>115.19999999999999</v>
      </c>
      <c r="M36" s="17">
        <f>H36</f>
        <v>5759.999999999999</v>
      </c>
      <c r="N36" s="17">
        <f>M36*0.06</f>
        <v>345.5999999999999</v>
      </c>
      <c r="O36" s="17">
        <f>M36</f>
        <v>5759.999999999999</v>
      </c>
      <c r="P36" s="17">
        <f>O36*0.04</f>
        <v>230.39999999999998</v>
      </c>
      <c r="Q36" s="22">
        <f t="shared" si="3"/>
        <v>829.4399999999997</v>
      </c>
      <c r="R36" s="22">
        <f t="shared" si="4"/>
        <v>552.9599999999999</v>
      </c>
      <c r="S36" s="22">
        <f t="shared" si="5"/>
        <v>276.47999999999996</v>
      </c>
      <c r="T36" s="2"/>
      <c r="U36" s="2"/>
      <c r="V36" s="65" t="s">
        <v>75</v>
      </c>
    </row>
    <row r="37" spans="1:22" ht="12.75">
      <c r="A37" s="85"/>
      <c r="B37" s="6"/>
      <c r="C37" s="6"/>
      <c r="D37" s="2">
        <v>0.65</v>
      </c>
      <c r="E37" s="2">
        <v>1.45</v>
      </c>
      <c r="F37" s="4" t="s">
        <v>64</v>
      </c>
      <c r="G37" s="17">
        <f>(E37-D37)*1000*5</f>
        <v>3999.9999999999995</v>
      </c>
      <c r="H37" s="17">
        <f t="shared" si="0"/>
        <v>3999.9999999999995</v>
      </c>
      <c r="I37" s="17"/>
      <c r="J37" s="17"/>
      <c r="K37" s="17">
        <f>H37</f>
        <v>3999.9999999999995</v>
      </c>
      <c r="L37" s="17">
        <f>G37*0.02</f>
        <v>79.99999999999999</v>
      </c>
      <c r="M37" s="17"/>
      <c r="N37" s="17"/>
      <c r="O37" s="17"/>
      <c r="P37" s="17"/>
      <c r="Q37" s="22">
        <f t="shared" si="3"/>
        <v>0</v>
      </c>
      <c r="R37" s="22">
        <f t="shared" si="4"/>
        <v>0</v>
      </c>
      <c r="S37" s="22">
        <f t="shared" si="5"/>
        <v>191.99999999999997</v>
      </c>
      <c r="T37" s="2"/>
      <c r="U37" s="2"/>
      <c r="V37" s="50" t="s">
        <v>66</v>
      </c>
    </row>
    <row r="38" spans="1:22" ht="12.75">
      <c r="A38" s="85"/>
      <c r="B38" s="6"/>
      <c r="C38" s="7" t="s">
        <v>39</v>
      </c>
      <c r="D38" s="2">
        <v>1.45</v>
      </c>
      <c r="E38" s="2">
        <v>1.551</v>
      </c>
      <c r="F38" s="4" t="s">
        <v>63</v>
      </c>
      <c r="G38" s="17">
        <f>(E38-D38)*1000*7.2</f>
        <v>727.1999999999998</v>
      </c>
      <c r="H38" s="17">
        <f>G38</f>
        <v>727.1999999999998</v>
      </c>
      <c r="I38" s="17">
        <f>H38</f>
        <v>727.1999999999998</v>
      </c>
      <c r="J38" s="17"/>
      <c r="K38" s="17"/>
      <c r="L38" s="17"/>
      <c r="M38" s="17"/>
      <c r="N38" s="17"/>
      <c r="O38" s="17"/>
      <c r="P38" s="17"/>
      <c r="Q38" s="22">
        <f t="shared" si="3"/>
        <v>0</v>
      </c>
      <c r="R38" s="22">
        <f t="shared" si="4"/>
        <v>0</v>
      </c>
      <c r="S38" s="22">
        <f t="shared" si="5"/>
        <v>0</v>
      </c>
      <c r="T38" s="2"/>
      <c r="U38" s="2"/>
      <c r="V38" s="50" t="s">
        <v>76</v>
      </c>
    </row>
    <row r="39" spans="1:22" ht="25.5">
      <c r="A39" s="85"/>
      <c r="B39" s="7" t="s">
        <v>39</v>
      </c>
      <c r="C39" s="8" t="s">
        <v>38</v>
      </c>
      <c r="D39" s="2">
        <v>1.551</v>
      </c>
      <c r="E39" s="2">
        <v>2.111</v>
      </c>
      <c r="F39" s="4" t="s">
        <v>63</v>
      </c>
      <c r="G39" s="17">
        <f>(E39-D39)*1000*7.2</f>
        <v>4032.000000000002</v>
      </c>
      <c r="H39" s="17">
        <f>G39</f>
        <v>4032.000000000002</v>
      </c>
      <c r="I39" s="17">
        <f>H39</f>
        <v>4032.000000000002</v>
      </c>
      <c r="J39" s="17"/>
      <c r="K39" s="17"/>
      <c r="L39" s="17"/>
      <c r="M39" s="17"/>
      <c r="N39" s="17"/>
      <c r="O39" s="17"/>
      <c r="P39" s="17"/>
      <c r="Q39" s="22">
        <f t="shared" si="3"/>
        <v>0</v>
      </c>
      <c r="R39" s="22">
        <f t="shared" si="4"/>
        <v>0</v>
      </c>
      <c r="S39" s="22">
        <f t="shared" si="5"/>
        <v>0</v>
      </c>
      <c r="T39" s="2"/>
      <c r="U39" s="2"/>
      <c r="V39" s="50" t="s">
        <v>76</v>
      </c>
    </row>
    <row r="40" spans="1:22" ht="25.5" customHeight="1">
      <c r="A40" s="77" t="s">
        <v>33</v>
      </c>
      <c r="B40" s="78" t="s">
        <v>34</v>
      </c>
      <c r="C40" s="6"/>
      <c r="D40" s="2">
        <v>0</v>
      </c>
      <c r="E40" s="2">
        <v>0.275</v>
      </c>
      <c r="F40" s="60" t="s">
        <v>77</v>
      </c>
      <c r="G40" s="17">
        <f>(E40-D40)*1000*7.2</f>
        <v>1980</v>
      </c>
      <c r="H40" s="17">
        <f aca="true" t="shared" si="6" ref="H40:H51">G40</f>
        <v>1980</v>
      </c>
      <c r="I40" s="17">
        <f>H40</f>
        <v>1980</v>
      </c>
      <c r="J40" s="17"/>
      <c r="K40" s="17"/>
      <c r="L40" s="17"/>
      <c r="M40" s="17"/>
      <c r="N40" s="17"/>
      <c r="O40" s="17"/>
      <c r="P40" s="17"/>
      <c r="Q40" s="22">
        <f t="shared" si="3"/>
        <v>0</v>
      </c>
      <c r="R40" s="22">
        <f t="shared" si="4"/>
        <v>0</v>
      </c>
      <c r="S40" s="22">
        <f t="shared" si="5"/>
        <v>0</v>
      </c>
      <c r="T40" s="2"/>
      <c r="U40" s="2"/>
      <c r="V40" s="50" t="s">
        <v>76</v>
      </c>
    </row>
    <row r="41" spans="1:22" ht="25.5">
      <c r="A41" s="77"/>
      <c r="B41" s="78"/>
      <c r="C41" s="6"/>
      <c r="D41" s="2">
        <v>0</v>
      </c>
      <c r="E41" s="2">
        <v>0.275</v>
      </c>
      <c r="F41" s="60" t="s">
        <v>78</v>
      </c>
      <c r="G41" s="17">
        <f>(E41-D41)*1000*7.2</f>
        <v>1980</v>
      </c>
      <c r="H41" s="17">
        <f t="shared" si="6"/>
        <v>1980</v>
      </c>
      <c r="I41" s="17"/>
      <c r="J41" s="17"/>
      <c r="K41" s="17">
        <f>H41</f>
        <v>1980</v>
      </c>
      <c r="L41" s="17">
        <f>H41*0.015</f>
        <v>29.7</v>
      </c>
      <c r="M41" s="17"/>
      <c r="N41" s="17"/>
      <c r="O41" s="17">
        <f>H41</f>
        <v>1980</v>
      </c>
      <c r="P41" s="17">
        <f>O41*0.04</f>
        <v>79.2</v>
      </c>
      <c r="Q41" s="22">
        <f t="shared" si="3"/>
        <v>0</v>
      </c>
      <c r="R41" s="22">
        <f t="shared" si="4"/>
        <v>190.08</v>
      </c>
      <c r="S41" s="22">
        <f t="shared" si="5"/>
        <v>71.28</v>
      </c>
      <c r="T41" s="2"/>
      <c r="U41" s="2"/>
      <c r="V41" s="50" t="s">
        <v>27</v>
      </c>
    </row>
    <row r="42" spans="1:22" ht="12.75">
      <c r="A42" s="52">
        <v>900</v>
      </c>
      <c r="B42" s="6" t="s">
        <v>35</v>
      </c>
      <c r="C42" s="6" t="s">
        <v>36</v>
      </c>
      <c r="D42" s="2">
        <v>0</v>
      </c>
      <c r="E42" s="2">
        <v>0.432</v>
      </c>
      <c r="F42" s="4" t="s">
        <v>63</v>
      </c>
      <c r="G42" s="17">
        <f>(E42-D42)*1000*7.2</f>
        <v>3110.4</v>
      </c>
      <c r="H42" s="17">
        <f t="shared" si="6"/>
        <v>3110.4</v>
      </c>
      <c r="I42" s="17"/>
      <c r="J42" s="17"/>
      <c r="K42" s="17">
        <f>H42</f>
        <v>3110.4</v>
      </c>
      <c r="L42" s="17">
        <f>G42*0.02</f>
        <v>62.208000000000006</v>
      </c>
      <c r="M42" s="17"/>
      <c r="N42" s="17"/>
      <c r="O42" s="17">
        <f>H42</f>
        <v>3110.4</v>
      </c>
      <c r="P42" s="17">
        <f>O42*0.04</f>
        <v>124.41600000000001</v>
      </c>
      <c r="Q42" s="22">
        <f t="shared" si="3"/>
        <v>0</v>
      </c>
      <c r="R42" s="22">
        <f t="shared" si="4"/>
        <v>298.5984</v>
      </c>
      <c r="S42" s="22">
        <f t="shared" si="5"/>
        <v>149.2992</v>
      </c>
      <c r="T42" s="2"/>
      <c r="U42" s="2"/>
      <c r="V42" s="50" t="s">
        <v>27</v>
      </c>
    </row>
    <row r="43" spans="1:22" ht="12.75">
      <c r="A43" s="52"/>
      <c r="B43" s="6"/>
      <c r="C43" s="6"/>
      <c r="D43" s="2">
        <v>0</v>
      </c>
      <c r="E43" s="2">
        <v>0.432</v>
      </c>
      <c r="F43" s="4" t="s">
        <v>64</v>
      </c>
      <c r="G43" s="17">
        <f>(E43-D43)*1000*5</f>
        <v>2160</v>
      </c>
      <c r="H43" s="17">
        <f t="shared" si="6"/>
        <v>2160</v>
      </c>
      <c r="I43" s="17"/>
      <c r="J43" s="17"/>
      <c r="K43" s="17">
        <f>H43</f>
        <v>2160</v>
      </c>
      <c r="L43" s="17">
        <f>G43*0.02</f>
        <v>43.2</v>
      </c>
      <c r="M43" s="17"/>
      <c r="N43" s="17"/>
      <c r="O43" s="17">
        <f>H43</f>
        <v>2160</v>
      </c>
      <c r="P43" s="17">
        <f>O43*0.04</f>
        <v>86.4</v>
      </c>
      <c r="Q43" s="22">
        <f t="shared" si="3"/>
        <v>0</v>
      </c>
      <c r="R43" s="22">
        <f t="shared" si="4"/>
        <v>207.36</v>
      </c>
      <c r="S43" s="22">
        <f t="shared" si="5"/>
        <v>103.68</v>
      </c>
      <c r="T43" s="2"/>
      <c r="U43" s="2"/>
      <c r="V43" s="50" t="s">
        <v>27</v>
      </c>
    </row>
    <row r="44" spans="1:22" ht="12.75">
      <c r="A44" s="52">
        <v>900</v>
      </c>
      <c r="B44" s="6" t="s">
        <v>35</v>
      </c>
      <c r="C44" s="6" t="s">
        <v>35</v>
      </c>
      <c r="D44" s="2">
        <v>0</v>
      </c>
      <c r="E44" s="2">
        <v>0.06</v>
      </c>
      <c r="F44" s="4" t="s">
        <v>63</v>
      </c>
      <c r="G44" s="17">
        <f>(E44-D44)*1000*8</f>
        <v>480</v>
      </c>
      <c r="H44" s="17">
        <f t="shared" si="6"/>
        <v>480</v>
      </c>
      <c r="I44" s="17">
        <f>H44</f>
        <v>480</v>
      </c>
      <c r="J44" s="17"/>
      <c r="K44" s="17"/>
      <c r="L44" s="17"/>
      <c r="M44" s="17"/>
      <c r="N44" s="17"/>
      <c r="O44" s="17"/>
      <c r="P44" s="17"/>
      <c r="Q44" s="22">
        <f t="shared" si="3"/>
        <v>0</v>
      </c>
      <c r="R44" s="22">
        <f t="shared" si="4"/>
        <v>0</v>
      </c>
      <c r="S44" s="22">
        <f t="shared" si="5"/>
        <v>0</v>
      </c>
      <c r="T44" s="2"/>
      <c r="U44" s="2"/>
      <c r="V44" s="50" t="s">
        <v>76</v>
      </c>
    </row>
    <row r="45" spans="1:22" ht="25.5" customHeight="1">
      <c r="A45" s="77">
        <v>900</v>
      </c>
      <c r="B45" s="78" t="s">
        <v>37</v>
      </c>
      <c r="C45" s="7" t="s">
        <v>79</v>
      </c>
      <c r="D45" s="2">
        <v>0</v>
      </c>
      <c r="E45" s="2">
        <v>0.33</v>
      </c>
      <c r="F45" s="4" t="s">
        <v>63</v>
      </c>
      <c r="G45" s="17">
        <f>(E45-D45)*1000*8</f>
        <v>2640</v>
      </c>
      <c r="H45" s="17">
        <f t="shared" si="6"/>
        <v>2640</v>
      </c>
      <c r="I45" s="17">
        <f aca="true" t="shared" si="7" ref="I45:I51">H45</f>
        <v>2640</v>
      </c>
      <c r="J45" s="17"/>
      <c r="K45" s="17"/>
      <c r="L45" s="17"/>
      <c r="M45" s="17"/>
      <c r="N45" s="17"/>
      <c r="O45" s="17"/>
      <c r="P45" s="17"/>
      <c r="Q45" s="22">
        <f t="shared" si="3"/>
        <v>0</v>
      </c>
      <c r="R45" s="22">
        <f t="shared" si="4"/>
        <v>0</v>
      </c>
      <c r="S45" s="22">
        <f t="shared" si="5"/>
        <v>0</v>
      </c>
      <c r="T45" s="2"/>
      <c r="U45" s="2"/>
      <c r="V45" s="50" t="s">
        <v>76</v>
      </c>
    </row>
    <row r="46" spans="1:22" ht="12.75">
      <c r="A46" s="77"/>
      <c r="B46" s="78"/>
      <c r="C46" s="7" t="s">
        <v>80</v>
      </c>
      <c r="D46" s="2">
        <v>0</v>
      </c>
      <c r="E46" s="2">
        <v>0.33</v>
      </c>
      <c r="F46" s="4" t="s">
        <v>63</v>
      </c>
      <c r="G46" s="17">
        <f>(E46-D46)*1000*8</f>
        <v>2640</v>
      </c>
      <c r="H46" s="17">
        <f t="shared" si="6"/>
        <v>2640</v>
      </c>
      <c r="I46" s="17">
        <f t="shared" si="7"/>
        <v>2640</v>
      </c>
      <c r="J46" s="17"/>
      <c r="K46" s="17"/>
      <c r="L46" s="17"/>
      <c r="M46" s="17"/>
      <c r="N46" s="17"/>
      <c r="O46" s="17"/>
      <c r="P46" s="17"/>
      <c r="Q46" s="22">
        <f t="shared" si="3"/>
        <v>0</v>
      </c>
      <c r="R46" s="22">
        <f t="shared" si="4"/>
        <v>0</v>
      </c>
      <c r="S46" s="22">
        <f t="shared" si="5"/>
        <v>0</v>
      </c>
      <c r="T46" s="2"/>
      <c r="U46" s="2"/>
      <c r="V46" s="50" t="s">
        <v>76</v>
      </c>
    </row>
    <row r="47" spans="1:22" ht="25.5">
      <c r="A47" s="77">
        <v>500</v>
      </c>
      <c r="B47" s="5" t="s">
        <v>84</v>
      </c>
      <c r="C47" s="8" t="s">
        <v>85</v>
      </c>
      <c r="D47" s="2">
        <v>0</v>
      </c>
      <c r="E47" s="2">
        <v>0.2</v>
      </c>
      <c r="F47" s="4" t="s">
        <v>63</v>
      </c>
      <c r="G47" s="17">
        <f>(E47-D47)*1000*7.2</f>
        <v>1440</v>
      </c>
      <c r="H47" s="17">
        <f t="shared" si="6"/>
        <v>1440</v>
      </c>
      <c r="I47" s="17">
        <f t="shared" si="7"/>
        <v>1440</v>
      </c>
      <c r="J47" s="17"/>
      <c r="K47" s="17"/>
      <c r="L47" s="17"/>
      <c r="M47" s="17"/>
      <c r="N47" s="17"/>
      <c r="O47" s="17"/>
      <c r="P47" s="17"/>
      <c r="Q47" s="22">
        <f t="shared" si="3"/>
        <v>0</v>
      </c>
      <c r="R47" s="22">
        <f t="shared" si="4"/>
        <v>0</v>
      </c>
      <c r="S47" s="22">
        <f t="shared" si="5"/>
        <v>0</v>
      </c>
      <c r="T47" s="2"/>
      <c r="U47" s="2"/>
      <c r="V47" s="50" t="s">
        <v>76</v>
      </c>
    </row>
    <row r="48" spans="1:22" ht="12.75">
      <c r="A48" s="77"/>
      <c r="B48" s="8" t="s">
        <v>86</v>
      </c>
      <c r="C48" s="7" t="s">
        <v>84</v>
      </c>
      <c r="D48" s="2">
        <v>0</v>
      </c>
      <c r="E48" s="2">
        <v>0.06</v>
      </c>
      <c r="F48" s="4" t="s">
        <v>63</v>
      </c>
      <c r="G48" s="17">
        <f>(E48-D48)*1000*7.2</f>
        <v>432</v>
      </c>
      <c r="H48" s="17">
        <f t="shared" si="6"/>
        <v>432</v>
      </c>
      <c r="I48" s="17">
        <f t="shared" si="7"/>
        <v>432</v>
      </c>
      <c r="J48" s="17"/>
      <c r="K48" s="17"/>
      <c r="L48" s="17"/>
      <c r="M48" s="17"/>
      <c r="N48" s="17"/>
      <c r="O48" s="17"/>
      <c r="P48" s="17"/>
      <c r="Q48" s="22">
        <f t="shared" si="3"/>
        <v>0</v>
      </c>
      <c r="R48" s="22">
        <f t="shared" si="4"/>
        <v>0</v>
      </c>
      <c r="S48" s="22">
        <f t="shared" si="5"/>
        <v>0</v>
      </c>
      <c r="T48" s="2"/>
      <c r="U48" s="2"/>
      <c r="V48" s="50" t="s">
        <v>76</v>
      </c>
    </row>
    <row r="49" spans="1:22" ht="12.75">
      <c r="A49" s="77"/>
      <c r="B49" s="8" t="s">
        <v>86</v>
      </c>
      <c r="C49" s="7" t="s">
        <v>87</v>
      </c>
      <c r="D49" s="2">
        <v>0.2</v>
      </c>
      <c r="E49" s="2">
        <v>1.2</v>
      </c>
      <c r="F49" s="4" t="s">
        <v>63</v>
      </c>
      <c r="G49" s="17">
        <f>(E49-D49)*1000*7.2</f>
        <v>7200</v>
      </c>
      <c r="H49" s="17">
        <f t="shared" si="6"/>
        <v>7200</v>
      </c>
      <c r="I49" s="17">
        <f t="shared" si="7"/>
        <v>7200</v>
      </c>
      <c r="J49" s="17"/>
      <c r="K49" s="17"/>
      <c r="L49" s="17"/>
      <c r="M49" s="17"/>
      <c r="N49" s="17"/>
      <c r="O49" s="17"/>
      <c r="P49" s="17"/>
      <c r="Q49" s="22">
        <f t="shared" si="3"/>
        <v>0</v>
      </c>
      <c r="R49" s="22">
        <f t="shared" si="4"/>
        <v>0</v>
      </c>
      <c r="S49" s="22">
        <f t="shared" si="5"/>
        <v>0</v>
      </c>
      <c r="T49" s="2"/>
      <c r="U49" s="2"/>
      <c r="V49" s="50" t="s">
        <v>76</v>
      </c>
    </row>
    <row r="50" spans="1:22" ht="38.25">
      <c r="A50" s="77"/>
      <c r="B50" s="8" t="s">
        <v>87</v>
      </c>
      <c r="C50" s="8" t="s">
        <v>83</v>
      </c>
      <c r="D50" s="2">
        <v>0</v>
      </c>
      <c r="E50" s="2">
        <v>0.25</v>
      </c>
      <c r="F50" s="4" t="s">
        <v>63</v>
      </c>
      <c r="G50" s="17">
        <f>(E50-D50)*1000*6</f>
        <v>1500</v>
      </c>
      <c r="H50" s="17">
        <f t="shared" si="6"/>
        <v>1500</v>
      </c>
      <c r="I50" s="17">
        <f t="shared" si="7"/>
        <v>1500</v>
      </c>
      <c r="J50" s="17"/>
      <c r="K50" s="17"/>
      <c r="L50" s="17"/>
      <c r="M50" s="17"/>
      <c r="N50" s="17"/>
      <c r="O50" s="17"/>
      <c r="P50" s="17"/>
      <c r="Q50" s="22">
        <f t="shared" si="3"/>
        <v>0</v>
      </c>
      <c r="R50" s="22">
        <f t="shared" si="4"/>
        <v>0</v>
      </c>
      <c r="S50" s="22">
        <f t="shared" si="5"/>
        <v>0</v>
      </c>
      <c r="T50" s="2"/>
      <c r="U50" s="2"/>
      <c r="V50" s="50" t="s">
        <v>76</v>
      </c>
    </row>
    <row r="51" spans="1:22" ht="25.5">
      <c r="A51" s="77"/>
      <c r="B51" s="8" t="s">
        <v>87</v>
      </c>
      <c r="C51" s="8" t="s">
        <v>88</v>
      </c>
      <c r="D51" s="2">
        <v>0</v>
      </c>
      <c r="E51" s="2">
        <v>0.25</v>
      </c>
      <c r="F51" s="4" t="s">
        <v>63</v>
      </c>
      <c r="G51" s="17">
        <f>(E51-D51)*1000*4</f>
        <v>1000</v>
      </c>
      <c r="H51" s="17">
        <f t="shared" si="6"/>
        <v>1000</v>
      </c>
      <c r="I51" s="17">
        <f t="shared" si="7"/>
        <v>1000</v>
      </c>
      <c r="J51" s="17"/>
      <c r="K51" s="17"/>
      <c r="L51" s="17"/>
      <c r="M51" s="17"/>
      <c r="N51" s="17"/>
      <c r="O51" s="17"/>
      <c r="P51" s="17"/>
      <c r="Q51" s="22">
        <f t="shared" si="3"/>
        <v>0</v>
      </c>
      <c r="R51" s="22">
        <f t="shared" si="4"/>
        <v>0</v>
      </c>
      <c r="S51" s="22">
        <f t="shared" si="5"/>
        <v>0</v>
      </c>
      <c r="T51" s="2"/>
      <c r="U51" s="2"/>
      <c r="V51" s="50" t="s">
        <v>76</v>
      </c>
    </row>
    <row r="52" spans="1:22" ht="12.75">
      <c r="A52" s="66"/>
      <c r="B52" s="62"/>
      <c r="C52" s="63"/>
      <c r="D52" s="61"/>
      <c r="E52" s="61"/>
      <c r="F52" s="61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61"/>
      <c r="R52" s="61"/>
      <c r="S52" s="61"/>
      <c r="T52" s="61"/>
      <c r="U52" s="61"/>
      <c r="V52" s="67"/>
    </row>
    <row r="53" spans="1:22" ht="13.5" thickBot="1">
      <c r="A53" s="68"/>
      <c r="B53" s="79" t="s">
        <v>91</v>
      </c>
      <c r="C53" s="80"/>
      <c r="D53" s="80"/>
      <c r="E53" s="80"/>
      <c r="F53" s="69"/>
      <c r="G53" s="42">
        <f>SUM(G12:G52)</f>
        <v>61755.600000000006</v>
      </c>
      <c r="H53" s="42">
        <f>SUM(H12:H52)</f>
        <v>61755.600000000006</v>
      </c>
      <c r="I53" s="42">
        <f>SUM(I12:I52)</f>
        <v>24071.2</v>
      </c>
      <c r="J53" s="42">
        <f>SUM(J12:J52)</f>
        <v>3960.000000000001</v>
      </c>
      <c r="K53" s="42">
        <f>SUM(K12:K51)</f>
        <v>30552.4</v>
      </c>
      <c r="L53" s="42">
        <f>SUM(L12:L51)</f>
        <v>601.148</v>
      </c>
      <c r="M53" s="42">
        <f aca="true" t="shared" si="8" ref="M53:S53">SUM(M12:M51)</f>
        <v>15696</v>
      </c>
      <c r="N53" s="42">
        <f t="shared" si="8"/>
        <v>913.8399999999999</v>
      </c>
      <c r="O53" s="42">
        <f t="shared" si="8"/>
        <v>27774.4</v>
      </c>
      <c r="P53" s="42">
        <f t="shared" si="8"/>
        <v>1090.4360000000001</v>
      </c>
      <c r="Q53" s="42">
        <f t="shared" si="8"/>
        <v>2193.2159999999994</v>
      </c>
      <c r="R53" s="42">
        <f t="shared" si="8"/>
        <v>2617.0463999999997</v>
      </c>
      <c r="S53" s="42">
        <f t="shared" si="8"/>
        <v>1442.7551999999998</v>
      </c>
      <c r="T53" s="69"/>
      <c r="U53" s="69"/>
      <c r="V53" s="70"/>
    </row>
    <row r="54" ht="12.75"/>
    <row r="55" ht="12.75"/>
    <row r="56" spans="1:17" ht="12.75">
      <c r="A56" s="71" t="s">
        <v>81</v>
      </c>
      <c r="B56" s="71"/>
      <c r="C56" s="71"/>
      <c r="D56" s="71">
        <f>E23-E22+E14+E39+E40+E41+E42+E44+E45+E46+E47+E49+E50+E51</f>
        <v>6.398000000000001</v>
      </c>
      <c r="E56" s="71" t="s">
        <v>82</v>
      </c>
      <c r="F56" t="s">
        <v>124</v>
      </c>
      <c r="Q56" s="24"/>
    </row>
    <row r="57" ht="12.75"/>
    <row r="58" ht="12.75"/>
    <row r="59" ht="12.75"/>
    <row r="60" ht="12.75"/>
    <row r="61" ht="12.75"/>
    <row r="62" ht="12.75"/>
    <row r="63" spans="1:22" ht="12.75">
      <c r="A63" s="83" t="s">
        <v>125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ht="13.5" thickBot="1"/>
    <row r="65" spans="1:22" ht="51">
      <c r="A65" s="27" t="s">
        <v>14</v>
      </c>
      <c r="B65" s="10" t="s">
        <v>15</v>
      </c>
      <c r="C65" s="10" t="s">
        <v>16</v>
      </c>
      <c r="D65" s="38" t="s">
        <v>17</v>
      </c>
      <c r="E65" s="38" t="s">
        <v>18</v>
      </c>
      <c r="F65" s="38" t="s">
        <v>65</v>
      </c>
      <c r="G65" s="39" t="s">
        <v>54</v>
      </c>
      <c r="H65" s="39" t="s">
        <v>61</v>
      </c>
      <c r="I65" s="39" t="s">
        <v>118</v>
      </c>
      <c r="J65" s="39" t="s">
        <v>117</v>
      </c>
      <c r="K65" s="39" t="s">
        <v>120</v>
      </c>
      <c r="L65" s="39" t="s">
        <v>60</v>
      </c>
      <c r="M65" s="39" t="s">
        <v>62</v>
      </c>
      <c r="N65" s="39" t="s">
        <v>67</v>
      </c>
      <c r="O65" s="39" t="s">
        <v>62</v>
      </c>
      <c r="P65" s="39" t="s">
        <v>59</v>
      </c>
      <c r="Q65" s="38" t="s">
        <v>89</v>
      </c>
      <c r="R65" s="38" t="s">
        <v>90</v>
      </c>
      <c r="S65" s="64" t="s">
        <v>121</v>
      </c>
      <c r="T65" s="38" t="s">
        <v>68</v>
      </c>
      <c r="U65" s="38" t="s">
        <v>69</v>
      </c>
      <c r="V65" s="11" t="s">
        <v>24</v>
      </c>
    </row>
    <row r="66" spans="1:22" ht="25.5" customHeight="1">
      <c r="A66" s="77">
        <v>200</v>
      </c>
      <c r="B66" s="5" t="s">
        <v>2</v>
      </c>
      <c r="C66" s="6" t="s">
        <v>57</v>
      </c>
      <c r="D66" s="2">
        <v>0</v>
      </c>
      <c r="E66" s="2">
        <v>0.11</v>
      </c>
      <c r="F66" s="2" t="s">
        <v>53</v>
      </c>
      <c r="G66" s="17">
        <v>3335</v>
      </c>
      <c r="H66" s="17">
        <f aca="true" t="shared" si="9" ref="H66:H91">G66</f>
        <v>3335</v>
      </c>
      <c r="I66" s="17"/>
      <c r="J66" s="17"/>
      <c r="K66" s="17">
        <f aca="true" t="shared" si="10" ref="K66:K76">H66</f>
        <v>3335</v>
      </c>
      <c r="L66" s="17">
        <f aca="true" t="shared" si="11" ref="L66:L76">G66*0.02</f>
        <v>66.7</v>
      </c>
      <c r="M66" s="17">
        <f>G66</f>
        <v>3335</v>
      </c>
      <c r="N66" s="17">
        <f>G66*0.045</f>
        <v>150.075</v>
      </c>
      <c r="O66" s="17">
        <f>G66</f>
        <v>3335</v>
      </c>
      <c r="P66" s="17">
        <f>O66*0.04</f>
        <v>133.4</v>
      </c>
      <c r="Q66" s="22">
        <f>N66*2.4</f>
        <v>360.17999999999995</v>
      </c>
      <c r="R66" s="22">
        <f>P66*2.4</f>
        <v>320.16</v>
      </c>
      <c r="S66" s="22">
        <f>L66*2.4</f>
        <v>160.08</v>
      </c>
      <c r="T66" s="2"/>
      <c r="U66" s="2"/>
      <c r="V66" s="86" t="s">
        <v>70</v>
      </c>
    </row>
    <row r="67" spans="1:22" ht="12.75">
      <c r="A67" s="77"/>
      <c r="B67" s="5"/>
      <c r="C67" s="6" t="s">
        <v>57</v>
      </c>
      <c r="D67" s="2">
        <v>0</v>
      </c>
      <c r="E67" s="2">
        <v>0.11</v>
      </c>
      <c r="F67" s="2" t="s">
        <v>55</v>
      </c>
      <c r="G67" s="17">
        <v>3395</v>
      </c>
      <c r="H67" s="17">
        <f t="shared" si="9"/>
        <v>3395</v>
      </c>
      <c r="I67" s="17"/>
      <c r="J67" s="17"/>
      <c r="K67" s="17">
        <f t="shared" si="10"/>
        <v>3395</v>
      </c>
      <c r="L67" s="17">
        <f t="shared" si="11"/>
        <v>67.9</v>
      </c>
      <c r="M67" s="17">
        <f>G67</f>
        <v>3395</v>
      </c>
      <c r="N67" s="17">
        <f>G67*0.045</f>
        <v>152.775</v>
      </c>
      <c r="O67" s="17">
        <f>G67</f>
        <v>3395</v>
      </c>
      <c r="P67" s="17">
        <f>O67*0.04</f>
        <v>135.8</v>
      </c>
      <c r="Q67" s="22">
        <f aca="true" t="shared" si="12" ref="Q67:Q105">N67*2.4</f>
        <v>366.66</v>
      </c>
      <c r="R67" s="22">
        <f aca="true" t="shared" si="13" ref="R67:R105">P67*2.4</f>
        <v>325.92</v>
      </c>
      <c r="S67" s="22">
        <f aca="true" t="shared" si="14" ref="S67:S105">L67*2.4</f>
        <v>162.96</v>
      </c>
      <c r="T67" s="2"/>
      <c r="U67" s="2"/>
      <c r="V67" s="88"/>
    </row>
    <row r="68" spans="1:22" ht="25.5">
      <c r="A68" s="77"/>
      <c r="B68" s="5" t="s">
        <v>57</v>
      </c>
      <c r="C68" s="5" t="s">
        <v>58</v>
      </c>
      <c r="D68" s="2">
        <v>0.11</v>
      </c>
      <c r="E68" s="2">
        <v>0.19</v>
      </c>
      <c r="F68" s="2" t="s">
        <v>56</v>
      </c>
      <c r="G68" s="17">
        <v>2054</v>
      </c>
      <c r="H68" s="17">
        <f t="shared" si="9"/>
        <v>2054</v>
      </c>
      <c r="I68" s="17"/>
      <c r="J68" s="17"/>
      <c r="K68" s="17">
        <f t="shared" si="10"/>
        <v>2054</v>
      </c>
      <c r="L68" s="17">
        <f t="shared" si="11"/>
        <v>41.08</v>
      </c>
      <c r="M68" s="17">
        <f>G68</f>
        <v>2054</v>
      </c>
      <c r="N68" s="17">
        <f>G68*0.045</f>
        <v>92.42999999999999</v>
      </c>
      <c r="O68" s="17">
        <f>G68</f>
        <v>2054</v>
      </c>
      <c r="P68" s="17">
        <f>O68*0.04</f>
        <v>82.16</v>
      </c>
      <c r="Q68" s="22">
        <f t="shared" si="12"/>
        <v>221.83199999999997</v>
      </c>
      <c r="R68" s="22">
        <f t="shared" si="13"/>
        <v>197.184</v>
      </c>
      <c r="S68" s="22">
        <f t="shared" si="14"/>
        <v>98.592</v>
      </c>
      <c r="T68" s="2"/>
      <c r="U68" s="2"/>
      <c r="V68" s="87"/>
    </row>
    <row r="69" spans="1:22" ht="12.75">
      <c r="A69" s="77"/>
      <c r="B69" s="5"/>
      <c r="C69" s="6"/>
      <c r="D69" s="2">
        <v>0.19</v>
      </c>
      <c r="E69" s="2">
        <v>0.43</v>
      </c>
      <c r="F69" s="2" t="s">
        <v>63</v>
      </c>
      <c r="G69" s="17"/>
      <c r="H69" s="17">
        <f t="shared" si="9"/>
        <v>0</v>
      </c>
      <c r="I69" s="17"/>
      <c r="J69" s="17"/>
      <c r="K69" s="17">
        <f t="shared" si="10"/>
        <v>0</v>
      </c>
      <c r="L69" s="17">
        <f t="shared" si="11"/>
        <v>0</v>
      </c>
      <c r="M69" s="17"/>
      <c r="N69" s="17"/>
      <c r="O69" s="17">
        <f>G69</f>
        <v>0</v>
      </c>
      <c r="P69" s="17">
        <f>G69*0.045</f>
        <v>0</v>
      </c>
      <c r="Q69" s="22">
        <f t="shared" si="12"/>
        <v>0</v>
      </c>
      <c r="R69" s="22">
        <f t="shared" si="13"/>
        <v>0</v>
      </c>
      <c r="S69" s="22">
        <f t="shared" si="14"/>
        <v>0</v>
      </c>
      <c r="T69" s="2"/>
      <c r="U69" s="2"/>
      <c r="V69" s="50"/>
    </row>
    <row r="70" spans="1:22" ht="12.75">
      <c r="A70" s="77"/>
      <c r="B70" s="5"/>
      <c r="C70" s="6"/>
      <c r="D70" s="2">
        <v>0.19</v>
      </c>
      <c r="E70" s="2">
        <v>0.43</v>
      </c>
      <c r="F70" s="2" t="s">
        <v>64</v>
      </c>
      <c r="G70" s="17"/>
      <c r="H70" s="17">
        <f t="shared" si="9"/>
        <v>0</v>
      </c>
      <c r="I70" s="17"/>
      <c r="J70" s="17"/>
      <c r="K70" s="17">
        <f t="shared" si="10"/>
        <v>0</v>
      </c>
      <c r="L70" s="17">
        <f t="shared" si="11"/>
        <v>0</v>
      </c>
      <c r="M70" s="17"/>
      <c r="N70" s="17"/>
      <c r="O70" s="17"/>
      <c r="P70" s="17"/>
      <c r="Q70" s="22">
        <f t="shared" si="12"/>
        <v>0</v>
      </c>
      <c r="R70" s="22">
        <f t="shared" si="13"/>
        <v>0</v>
      </c>
      <c r="S70" s="22">
        <f t="shared" si="14"/>
        <v>0</v>
      </c>
      <c r="T70" s="2"/>
      <c r="U70" s="2"/>
      <c r="V70" s="50"/>
    </row>
    <row r="71" spans="1:22" ht="12.75">
      <c r="A71" s="77"/>
      <c r="B71" s="6"/>
      <c r="C71" s="6"/>
      <c r="D71" s="2">
        <v>0.43</v>
      </c>
      <c r="E71" s="2">
        <v>0.53</v>
      </c>
      <c r="F71" s="2" t="s">
        <v>63</v>
      </c>
      <c r="G71" s="17"/>
      <c r="H71" s="17">
        <f t="shared" si="9"/>
        <v>0</v>
      </c>
      <c r="I71" s="17"/>
      <c r="J71" s="17"/>
      <c r="K71" s="17">
        <f t="shared" si="10"/>
        <v>0</v>
      </c>
      <c r="L71" s="17">
        <f t="shared" si="11"/>
        <v>0</v>
      </c>
      <c r="M71" s="17">
        <f>H71</f>
        <v>0</v>
      </c>
      <c r="N71" s="17">
        <f>M71*0.035</f>
        <v>0</v>
      </c>
      <c r="O71" s="17">
        <f>M71</f>
        <v>0</v>
      </c>
      <c r="P71" s="17">
        <f>O71*0.03</f>
        <v>0</v>
      </c>
      <c r="Q71" s="22">
        <f t="shared" si="12"/>
        <v>0</v>
      </c>
      <c r="R71" s="22">
        <f t="shared" si="13"/>
        <v>0</v>
      </c>
      <c r="S71" s="22">
        <f t="shared" si="14"/>
        <v>0</v>
      </c>
      <c r="T71" s="2"/>
      <c r="U71" s="2"/>
      <c r="V71" s="65"/>
    </row>
    <row r="72" spans="1:22" ht="12.75">
      <c r="A72" s="77"/>
      <c r="B72" s="6"/>
      <c r="C72" s="6"/>
      <c r="D72" s="2">
        <v>0.43</v>
      </c>
      <c r="E72" s="2">
        <v>0.53</v>
      </c>
      <c r="F72" s="2" t="s">
        <v>64</v>
      </c>
      <c r="G72" s="17"/>
      <c r="H72" s="17">
        <f t="shared" si="9"/>
        <v>0</v>
      </c>
      <c r="I72" s="17"/>
      <c r="J72" s="17"/>
      <c r="K72" s="17">
        <f t="shared" si="10"/>
        <v>0</v>
      </c>
      <c r="L72" s="17">
        <f t="shared" si="11"/>
        <v>0</v>
      </c>
      <c r="M72" s="17"/>
      <c r="N72" s="17"/>
      <c r="O72" s="17"/>
      <c r="P72" s="17"/>
      <c r="Q72" s="22">
        <f t="shared" si="12"/>
        <v>0</v>
      </c>
      <c r="R72" s="22">
        <f t="shared" si="13"/>
        <v>0</v>
      </c>
      <c r="S72" s="22">
        <f t="shared" si="14"/>
        <v>0</v>
      </c>
      <c r="T72" s="2"/>
      <c r="U72" s="2"/>
      <c r="V72" s="50"/>
    </row>
    <row r="73" spans="1:22" ht="12.75">
      <c r="A73" s="77"/>
      <c r="B73" s="6"/>
      <c r="C73" s="6"/>
      <c r="D73" s="2">
        <v>0.53</v>
      </c>
      <c r="E73" s="2">
        <v>0.67</v>
      </c>
      <c r="F73" s="2" t="s">
        <v>63</v>
      </c>
      <c r="G73" s="17"/>
      <c r="H73" s="17">
        <f t="shared" si="9"/>
        <v>0</v>
      </c>
      <c r="I73" s="17"/>
      <c r="J73" s="17"/>
      <c r="K73" s="17">
        <f t="shared" si="10"/>
        <v>0</v>
      </c>
      <c r="L73" s="17">
        <f t="shared" si="11"/>
        <v>0</v>
      </c>
      <c r="M73" s="17"/>
      <c r="N73" s="17"/>
      <c r="O73" s="17">
        <f>G73</f>
        <v>0</v>
      </c>
      <c r="P73" s="17">
        <f>G73*0.035</f>
        <v>0</v>
      </c>
      <c r="Q73" s="22">
        <f t="shared" si="12"/>
        <v>0</v>
      </c>
      <c r="R73" s="22">
        <f t="shared" si="13"/>
        <v>0</v>
      </c>
      <c r="S73" s="22">
        <f t="shared" si="14"/>
        <v>0</v>
      </c>
      <c r="T73" s="2"/>
      <c r="U73" s="2"/>
      <c r="V73" s="50"/>
    </row>
    <row r="74" spans="1:22" ht="12.75">
      <c r="A74" s="77"/>
      <c r="B74" s="6"/>
      <c r="C74" s="6"/>
      <c r="D74" s="2">
        <v>0.53</v>
      </c>
      <c r="E74" s="2">
        <v>0.67</v>
      </c>
      <c r="F74" s="2" t="s">
        <v>64</v>
      </c>
      <c r="G74" s="17"/>
      <c r="H74" s="17">
        <f t="shared" si="9"/>
        <v>0</v>
      </c>
      <c r="I74" s="17"/>
      <c r="J74" s="17"/>
      <c r="K74" s="17">
        <f t="shared" si="10"/>
        <v>0</v>
      </c>
      <c r="L74" s="17">
        <f t="shared" si="11"/>
        <v>0</v>
      </c>
      <c r="M74" s="17"/>
      <c r="N74" s="17"/>
      <c r="O74" s="17"/>
      <c r="P74" s="17"/>
      <c r="Q74" s="22">
        <f t="shared" si="12"/>
        <v>0</v>
      </c>
      <c r="R74" s="22">
        <f t="shared" si="13"/>
        <v>0</v>
      </c>
      <c r="S74" s="22">
        <f t="shared" si="14"/>
        <v>0</v>
      </c>
      <c r="T74" s="2"/>
      <c r="U74" s="2"/>
      <c r="V74" s="50"/>
    </row>
    <row r="75" spans="1:22" ht="12.75">
      <c r="A75" s="77"/>
      <c r="B75" s="6"/>
      <c r="C75" s="7" t="s">
        <v>28</v>
      </c>
      <c r="D75" s="2">
        <v>0.67</v>
      </c>
      <c r="E75" s="2">
        <v>1.105</v>
      </c>
      <c r="F75" s="2" t="s">
        <v>63</v>
      </c>
      <c r="G75" s="17"/>
      <c r="H75" s="17">
        <f t="shared" si="9"/>
        <v>0</v>
      </c>
      <c r="I75" s="17"/>
      <c r="J75" s="17"/>
      <c r="K75" s="17">
        <f t="shared" si="10"/>
        <v>0</v>
      </c>
      <c r="L75" s="17">
        <f t="shared" si="11"/>
        <v>0</v>
      </c>
      <c r="M75" s="17"/>
      <c r="N75" s="17"/>
      <c r="O75" s="17">
        <f>G75</f>
        <v>0</v>
      </c>
      <c r="P75" s="17">
        <f>G75*0.04</f>
        <v>0</v>
      </c>
      <c r="Q75" s="22">
        <f t="shared" si="12"/>
        <v>0</v>
      </c>
      <c r="R75" s="22">
        <f t="shared" si="13"/>
        <v>0</v>
      </c>
      <c r="S75" s="22">
        <f t="shared" si="14"/>
        <v>0</v>
      </c>
      <c r="T75" s="2"/>
      <c r="U75" s="2"/>
      <c r="V75" s="50"/>
    </row>
    <row r="76" spans="1:22" ht="12.75">
      <c r="A76" s="77"/>
      <c r="B76" s="6"/>
      <c r="C76" s="7" t="s">
        <v>28</v>
      </c>
      <c r="D76" s="2">
        <v>0.67</v>
      </c>
      <c r="E76" s="2">
        <v>1.105</v>
      </c>
      <c r="F76" s="2" t="s">
        <v>64</v>
      </c>
      <c r="G76" s="17"/>
      <c r="H76" s="17">
        <f t="shared" si="9"/>
        <v>0</v>
      </c>
      <c r="I76" s="17"/>
      <c r="J76" s="17"/>
      <c r="K76" s="17">
        <f t="shared" si="10"/>
        <v>0</v>
      </c>
      <c r="L76" s="17">
        <f t="shared" si="11"/>
        <v>0</v>
      </c>
      <c r="M76" s="17"/>
      <c r="N76" s="17"/>
      <c r="O76" s="17"/>
      <c r="P76" s="17"/>
      <c r="Q76" s="22">
        <f t="shared" si="12"/>
        <v>0</v>
      </c>
      <c r="R76" s="22">
        <f t="shared" si="13"/>
        <v>0</v>
      </c>
      <c r="S76" s="22">
        <f t="shared" si="14"/>
        <v>0</v>
      </c>
      <c r="T76" s="2"/>
      <c r="U76" s="2"/>
      <c r="V76" s="50"/>
    </row>
    <row r="77" spans="1:22" ht="12.75">
      <c r="A77" s="51" t="s">
        <v>28</v>
      </c>
      <c r="B77" s="7" t="s">
        <v>15</v>
      </c>
      <c r="C77" s="7" t="s">
        <v>16</v>
      </c>
      <c r="D77" s="2">
        <v>1.105</v>
      </c>
      <c r="E77" s="2">
        <v>1.6</v>
      </c>
      <c r="F77" s="4" t="s">
        <v>71</v>
      </c>
      <c r="G77" s="17">
        <f>(E77-D77)*1000*8</f>
        <v>3960.000000000001</v>
      </c>
      <c r="H77" s="17">
        <f t="shared" si="9"/>
        <v>3960.000000000001</v>
      </c>
      <c r="I77" s="17"/>
      <c r="J77" s="17">
        <f>H77</f>
        <v>3960.000000000001</v>
      </c>
      <c r="K77" s="17"/>
      <c r="L77" s="17"/>
      <c r="M77" s="17"/>
      <c r="N77" s="17"/>
      <c r="O77" s="17"/>
      <c r="P77" s="17"/>
      <c r="Q77" s="22">
        <f t="shared" si="12"/>
        <v>0</v>
      </c>
      <c r="R77" s="22">
        <f t="shared" si="13"/>
        <v>0</v>
      </c>
      <c r="S77" s="22">
        <f t="shared" si="14"/>
        <v>0</v>
      </c>
      <c r="T77" s="2"/>
      <c r="U77" s="2"/>
      <c r="V77" s="50" t="s">
        <v>72</v>
      </c>
    </row>
    <row r="78" spans="1:22" ht="12.75">
      <c r="A78" s="51"/>
      <c r="B78" s="7" t="s">
        <v>28</v>
      </c>
      <c r="C78" s="6"/>
      <c r="D78" s="2">
        <v>0</v>
      </c>
      <c r="E78" s="2">
        <v>0.03</v>
      </c>
      <c r="F78" s="4" t="s">
        <v>63</v>
      </c>
      <c r="G78" s="17">
        <f>(E78-D78)*1000*7.2</f>
        <v>216</v>
      </c>
      <c r="H78" s="17">
        <f t="shared" si="9"/>
        <v>216</v>
      </c>
      <c r="I78" s="17"/>
      <c r="J78" s="17"/>
      <c r="K78" s="17">
        <f>H78</f>
        <v>216</v>
      </c>
      <c r="L78" s="17">
        <f>G78*0.02</f>
        <v>4.32</v>
      </c>
      <c r="M78" s="17"/>
      <c r="N78" s="17"/>
      <c r="O78" s="17">
        <f>G78</f>
        <v>216</v>
      </c>
      <c r="P78" s="17">
        <f>G78*0.035</f>
        <v>7.5600000000000005</v>
      </c>
      <c r="Q78" s="22">
        <f t="shared" si="12"/>
        <v>0</v>
      </c>
      <c r="R78" s="22">
        <f t="shared" si="13"/>
        <v>18.144000000000002</v>
      </c>
      <c r="S78" s="22">
        <f t="shared" si="14"/>
        <v>10.368</v>
      </c>
      <c r="T78" s="2"/>
      <c r="U78" s="2"/>
      <c r="V78" s="50" t="s">
        <v>26</v>
      </c>
    </row>
    <row r="79" spans="1:22" ht="12.75">
      <c r="A79" s="85" t="s">
        <v>29</v>
      </c>
      <c r="B79" s="7" t="s">
        <v>28</v>
      </c>
      <c r="C79" s="6"/>
      <c r="D79" s="2">
        <v>0</v>
      </c>
      <c r="E79" s="2">
        <v>0.03</v>
      </c>
      <c r="F79" s="4" t="s">
        <v>64</v>
      </c>
      <c r="G79" s="17">
        <f>(E79-D79)*1000*5</f>
        <v>150</v>
      </c>
      <c r="H79" s="17">
        <f t="shared" si="9"/>
        <v>150</v>
      </c>
      <c r="I79" s="17"/>
      <c r="J79" s="17"/>
      <c r="K79" s="17">
        <f>H79</f>
        <v>150</v>
      </c>
      <c r="L79" s="17">
        <f>G79*0.02</f>
        <v>3</v>
      </c>
      <c r="M79" s="17"/>
      <c r="N79" s="17"/>
      <c r="O79" s="17"/>
      <c r="P79" s="17"/>
      <c r="Q79" s="22">
        <f t="shared" si="12"/>
        <v>0</v>
      </c>
      <c r="R79" s="22">
        <f t="shared" si="13"/>
        <v>0</v>
      </c>
      <c r="S79" s="22">
        <f t="shared" si="14"/>
        <v>7.199999999999999</v>
      </c>
      <c r="T79" s="2"/>
      <c r="U79" s="2"/>
      <c r="V79" s="50" t="s">
        <v>66</v>
      </c>
    </row>
    <row r="80" spans="1:22" ht="12.75" customHeight="1">
      <c r="A80" s="85"/>
      <c r="B80" s="6"/>
      <c r="C80" s="6"/>
      <c r="D80" s="2">
        <v>0.03</v>
      </c>
      <c r="E80" s="2">
        <v>0.15</v>
      </c>
      <c r="F80" s="4" t="s">
        <v>63</v>
      </c>
      <c r="G80" s="17">
        <f>(E80-D80)*1000*7.2</f>
        <v>864</v>
      </c>
      <c r="H80" s="17">
        <f t="shared" si="9"/>
        <v>864</v>
      </c>
      <c r="I80" s="17"/>
      <c r="J80" s="17"/>
      <c r="K80" s="17"/>
      <c r="L80" s="17"/>
      <c r="M80" s="17"/>
      <c r="N80" s="17">
        <f>H80*0.04</f>
        <v>34.56</v>
      </c>
      <c r="O80" s="17">
        <f>H80</f>
        <v>864</v>
      </c>
      <c r="P80" s="17">
        <f>O80*0.035</f>
        <v>30.240000000000002</v>
      </c>
      <c r="Q80" s="22">
        <f t="shared" si="12"/>
        <v>82.944</v>
      </c>
      <c r="R80" s="22">
        <f t="shared" si="13"/>
        <v>72.57600000000001</v>
      </c>
      <c r="S80" s="22">
        <f t="shared" si="14"/>
        <v>0</v>
      </c>
      <c r="T80" s="2"/>
      <c r="U80" s="2"/>
      <c r="V80" s="86" t="s">
        <v>73</v>
      </c>
    </row>
    <row r="81" spans="1:22" ht="12.75">
      <c r="A81" s="85"/>
      <c r="B81" s="6"/>
      <c r="C81" s="6"/>
      <c r="D81" s="2">
        <v>0.03</v>
      </c>
      <c r="E81" s="2">
        <v>0.15</v>
      </c>
      <c r="F81" s="4" t="s">
        <v>64</v>
      </c>
      <c r="G81" s="17">
        <f>(E81-D81)*1000*5</f>
        <v>600</v>
      </c>
      <c r="H81" s="17">
        <f t="shared" si="9"/>
        <v>600</v>
      </c>
      <c r="I81" s="17"/>
      <c r="J81" s="17"/>
      <c r="K81" s="17"/>
      <c r="L81" s="17"/>
      <c r="M81" s="17"/>
      <c r="N81" s="17">
        <f>H81*0.04</f>
        <v>24</v>
      </c>
      <c r="O81" s="17">
        <f>H81</f>
        <v>600</v>
      </c>
      <c r="P81" s="17">
        <f>O81*0.035</f>
        <v>21.000000000000004</v>
      </c>
      <c r="Q81" s="22">
        <f t="shared" si="12"/>
        <v>57.599999999999994</v>
      </c>
      <c r="R81" s="22">
        <f t="shared" si="13"/>
        <v>50.400000000000006</v>
      </c>
      <c r="S81" s="22">
        <f t="shared" si="14"/>
        <v>0</v>
      </c>
      <c r="T81" s="2"/>
      <c r="U81" s="2"/>
      <c r="V81" s="87"/>
    </row>
    <row r="82" spans="1:22" ht="12.75">
      <c r="A82" s="85"/>
      <c r="B82" s="6"/>
      <c r="C82" s="6"/>
      <c r="D82" s="2">
        <v>0.15</v>
      </c>
      <c r="E82" s="2">
        <v>0.25</v>
      </c>
      <c r="F82" s="4" t="s">
        <v>63</v>
      </c>
      <c r="G82" s="17">
        <f>(E82-D82)*1000*7.2</f>
        <v>720</v>
      </c>
      <c r="H82" s="17">
        <f t="shared" si="9"/>
        <v>720</v>
      </c>
      <c r="I82" s="17"/>
      <c r="J82" s="17"/>
      <c r="K82" s="17">
        <f>H82</f>
        <v>720</v>
      </c>
      <c r="L82" s="17">
        <f>H82*0.02</f>
        <v>14.4</v>
      </c>
      <c r="M82" s="17"/>
      <c r="N82" s="17"/>
      <c r="O82" s="17">
        <f>H82</f>
        <v>720</v>
      </c>
      <c r="P82" s="17">
        <f>O82*0.04</f>
        <v>28.8</v>
      </c>
      <c r="Q82" s="22">
        <f t="shared" si="12"/>
        <v>0</v>
      </c>
      <c r="R82" s="22">
        <f t="shared" si="13"/>
        <v>69.12</v>
      </c>
      <c r="S82" s="22">
        <f t="shared" si="14"/>
        <v>34.56</v>
      </c>
      <c r="T82" s="2"/>
      <c r="U82" s="2"/>
      <c r="V82" s="50" t="s">
        <v>27</v>
      </c>
    </row>
    <row r="83" spans="1:22" ht="12.75">
      <c r="A83" s="85"/>
      <c r="B83" s="6"/>
      <c r="C83" s="6"/>
      <c r="D83" s="2">
        <v>0.15</v>
      </c>
      <c r="E83" s="2">
        <v>0.25</v>
      </c>
      <c r="F83" s="4" t="s">
        <v>64</v>
      </c>
      <c r="G83" s="17">
        <f>(E83-D83)*1000*5</f>
        <v>500</v>
      </c>
      <c r="H83" s="17">
        <f t="shared" si="9"/>
        <v>500</v>
      </c>
      <c r="I83" s="17"/>
      <c r="J83" s="17"/>
      <c r="K83" s="17">
        <f>H83</f>
        <v>500</v>
      </c>
      <c r="L83" s="17">
        <f>H83*0.02</f>
        <v>10</v>
      </c>
      <c r="M83" s="17"/>
      <c r="N83" s="17"/>
      <c r="O83" s="17"/>
      <c r="P83" s="17"/>
      <c r="Q83" s="22">
        <f t="shared" si="12"/>
        <v>0</v>
      </c>
      <c r="R83" s="22">
        <f t="shared" si="13"/>
        <v>0</v>
      </c>
      <c r="S83" s="22">
        <f t="shared" si="14"/>
        <v>24</v>
      </c>
      <c r="T83" s="2"/>
      <c r="U83" s="2"/>
      <c r="V83" s="50" t="s">
        <v>66</v>
      </c>
    </row>
    <row r="84" spans="1:22" ht="38.25">
      <c r="A84" s="85"/>
      <c r="B84" s="6"/>
      <c r="C84" s="6"/>
      <c r="D84" s="2">
        <v>0.25</v>
      </c>
      <c r="E84" s="2">
        <v>0.41</v>
      </c>
      <c r="F84" s="4" t="s">
        <v>63</v>
      </c>
      <c r="G84" s="17">
        <f>(E84-D84)*1000*7.2</f>
        <v>1151.9999999999998</v>
      </c>
      <c r="H84" s="17">
        <f t="shared" si="9"/>
        <v>1151.9999999999998</v>
      </c>
      <c r="I84" s="17"/>
      <c r="J84" s="17"/>
      <c r="K84" s="17">
        <f>H84</f>
        <v>1151.9999999999998</v>
      </c>
      <c r="L84" s="17">
        <f>H84*0.02</f>
        <v>23.039999999999996</v>
      </c>
      <c r="M84" s="17">
        <f>H84</f>
        <v>1151.9999999999998</v>
      </c>
      <c r="N84" s="17">
        <f>M84*0.04</f>
        <v>46.07999999999999</v>
      </c>
      <c r="O84" s="17">
        <f>M84</f>
        <v>1151.9999999999998</v>
      </c>
      <c r="P84" s="17">
        <f>O84*0.04</f>
        <v>46.07999999999999</v>
      </c>
      <c r="Q84" s="22">
        <f t="shared" si="12"/>
        <v>110.59199999999997</v>
      </c>
      <c r="R84" s="22">
        <f t="shared" si="13"/>
        <v>110.59199999999997</v>
      </c>
      <c r="S84" s="22">
        <f t="shared" si="14"/>
        <v>55.295999999999985</v>
      </c>
      <c r="T84" s="2"/>
      <c r="U84" s="2"/>
      <c r="V84" s="65" t="s">
        <v>74</v>
      </c>
    </row>
    <row r="85" spans="1:22" ht="12.75">
      <c r="A85" s="85"/>
      <c r="B85" s="6"/>
      <c r="C85" s="6"/>
      <c r="D85" s="2">
        <v>0.25</v>
      </c>
      <c r="E85" s="2">
        <v>0.41</v>
      </c>
      <c r="F85" s="4" t="s">
        <v>64</v>
      </c>
      <c r="G85" s="17">
        <f>(E85-D85)*1000*5</f>
        <v>799.9999999999999</v>
      </c>
      <c r="H85" s="17">
        <f t="shared" si="9"/>
        <v>799.9999999999999</v>
      </c>
      <c r="I85" s="17"/>
      <c r="J85" s="17"/>
      <c r="K85" s="17">
        <f>H85</f>
        <v>799.9999999999999</v>
      </c>
      <c r="L85" s="17">
        <f>H85*0.02</f>
        <v>15.999999999999998</v>
      </c>
      <c r="M85" s="17"/>
      <c r="N85" s="17"/>
      <c r="O85" s="17"/>
      <c r="P85" s="17"/>
      <c r="Q85" s="22">
        <f t="shared" si="12"/>
        <v>0</v>
      </c>
      <c r="R85" s="22">
        <f t="shared" si="13"/>
        <v>0</v>
      </c>
      <c r="S85" s="22">
        <f t="shared" si="14"/>
        <v>38.39999999999999</v>
      </c>
      <c r="T85" s="2"/>
      <c r="U85" s="2"/>
      <c r="V85" s="50" t="s">
        <v>66</v>
      </c>
    </row>
    <row r="86" spans="1:22" ht="12.75" customHeight="1">
      <c r="A86" s="85"/>
      <c r="B86" s="6"/>
      <c r="C86" s="6"/>
      <c r="D86" s="2">
        <v>0.41</v>
      </c>
      <c r="E86" s="2">
        <v>0.55</v>
      </c>
      <c r="F86" s="4" t="s">
        <v>63</v>
      </c>
      <c r="G86" s="17">
        <f>(E86-D86)*1000*7.2</f>
        <v>1008.0000000000005</v>
      </c>
      <c r="H86" s="17">
        <f t="shared" si="9"/>
        <v>1008.0000000000005</v>
      </c>
      <c r="I86" s="17"/>
      <c r="J86" s="17"/>
      <c r="K86" s="17"/>
      <c r="L86" s="17"/>
      <c r="M86" s="17"/>
      <c r="N86" s="17">
        <f>H86*0.04</f>
        <v>40.32000000000002</v>
      </c>
      <c r="O86" s="17">
        <f>H86</f>
        <v>1008.0000000000005</v>
      </c>
      <c r="P86" s="17">
        <f>O86*0.035</f>
        <v>35.28000000000002</v>
      </c>
      <c r="Q86" s="22">
        <f t="shared" si="12"/>
        <v>96.76800000000004</v>
      </c>
      <c r="R86" s="22">
        <f t="shared" si="13"/>
        <v>84.67200000000005</v>
      </c>
      <c r="S86" s="22">
        <f t="shared" si="14"/>
        <v>0</v>
      </c>
      <c r="T86" s="2"/>
      <c r="U86" s="2"/>
      <c r="V86" s="86" t="s">
        <v>73</v>
      </c>
    </row>
    <row r="87" spans="1:22" ht="12.75">
      <c r="A87" s="85"/>
      <c r="B87" s="6"/>
      <c r="C87" s="6"/>
      <c r="D87" s="2">
        <v>0.41</v>
      </c>
      <c r="E87" s="2">
        <v>0.55</v>
      </c>
      <c r="F87" s="4" t="s">
        <v>64</v>
      </c>
      <c r="G87" s="17">
        <f>(E87-D87)*1000*5</f>
        <v>700.0000000000002</v>
      </c>
      <c r="H87" s="17">
        <f t="shared" si="9"/>
        <v>700.0000000000002</v>
      </c>
      <c r="I87" s="17"/>
      <c r="J87" s="17"/>
      <c r="K87" s="17"/>
      <c r="L87" s="17"/>
      <c r="M87" s="17"/>
      <c r="N87" s="17">
        <f>H87*0.04</f>
        <v>28.00000000000001</v>
      </c>
      <c r="O87" s="17">
        <f>H87</f>
        <v>700.0000000000002</v>
      </c>
      <c r="P87" s="17">
        <f>O87*0.035</f>
        <v>24.50000000000001</v>
      </c>
      <c r="Q87" s="22">
        <f t="shared" si="12"/>
        <v>67.20000000000002</v>
      </c>
      <c r="R87" s="22">
        <f t="shared" si="13"/>
        <v>58.800000000000026</v>
      </c>
      <c r="S87" s="22">
        <f t="shared" si="14"/>
        <v>0</v>
      </c>
      <c r="T87" s="2"/>
      <c r="U87" s="2"/>
      <c r="V87" s="87"/>
    </row>
    <row r="88" spans="1:22" ht="12.75">
      <c r="A88" s="85"/>
      <c r="B88" s="6"/>
      <c r="C88" s="6"/>
      <c r="D88" s="2">
        <v>0.55</v>
      </c>
      <c r="E88" s="2">
        <v>0.65</v>
      </c>
      <c r="F88" s="4" t="s">
        <v>63</v>
      </c>
      <c r="G88" s="17">
        <f>(E88-D88)*1000*7.2</f>
        <v>719.9999999999998</v>
      </c>
      <c r="H88" s="17">
        <f t="shared" si="9"/>
        <v>719.9999999999998</v>
      </c>
      <c r="I88" s="17"/>
      <c r="J88" s="17"/>
      <c r="K88" s="17">
        <f>H88</f>
        <v>719.9999999999998</v>
      </c>
      <c r="L88" s="17">
        <f>G88*0.02</f>
        <v>14.399999999999995</v>
      </c>
      <c r="M88" s="17"/>
      <c r="N88" s="17"/>
      <c r="O88" s="17">
        <f>G88</f>
        <v>719.9999999999998</v>
      </c>
      <c r="P88" s="17">
        <f>G88*0.035</f>
        <v>25.199999999999996</v>
      </c>
      <c r="Q88" s="22">
        <f t="shared" si="12"/>
        <v>0</v>
      </c>
      <c r="R88" s="22">
        <f t="shared" si="13"/>
        <v>60.47999999999999</v>
      </c>
      <c r="S88" s="22">
        <f t="shared" si="14"/>
        <v>34.55999999999999</v>
      </c>
      <c r="T88" s="2"/>
      <c r="U88" s="2"/>
      <c r="V88" s="50" t="s">
        <v>26</v>
      </c>
    </row>
    <row r="89" spans="1:22" ht="12.75">
      <c r="A89" s="85"/>
      <c r="B89" s="6"/>
      <c r="C89" s="6"/>
      <c r="D89" s="2">
        <v>0.55</v>
      </c>
      <c r="E89" s="2">
        <v>0.65</v>
      </c>
      <c r="F89" s="4" t="s">
        <v>64</v>
      </c>
      <c r="G89" s="17">
        <f>(E89-D89)*1000*5</f>
        <v>499.9999999999999</v>
      </c>
      <c r="H89" s="17">
        <f t="shared" si="9"/>
        <v>499.9999999999999</v>
      </c>
      <c r="I89" s="17"/>
      <c r="J89" s="17"/>
      <c r="K89" s="17">
        <f>H89</f>
        <v>499.9999999999999</v>
      </c>
      <c r="L89" s="17">
        <f>G89*0.02</f>
        <v>9.999999999999998</v>
      </c>
      <c r="M89" s="17"/>
      <c r="N89" s="17"/>
      <c r="O89" s="17"/>
      <c r="P89" s="17"/>
      <c r="Q89" s="22">
        <f t="shared" si="12"/>
        <v>0</v>
      </c>
      <c r="R89" s="22">
        <f t="shared" si="13"/>
        <v>0</v>
      </c>
      <c r="S89" s="22">
        <f t="shared" si="14"/>
        <v>23.999999999999996</v>
      </c>
      <c r="T89" s="2"/>
      <c r="U89" s="2"/>
      <c r="V89" s="50" t="s">
        <v>66</v>
      </c>
    </row>
    <row r="90" spans="1:22" ht="38.25">
      <c r="A90" s="85"/>
      <c r="B90" s="6"/>
      <c r="C90" s="6"/>
      <c r="D90" s="2">
        <v>0.65</v>
      </c>
      <c r="E90" s="2">
        <v>1.45</v>
      </c>
      <c r="F90" s="4" t="s">
        <v>63</v>
      </c>
      <c r="G90" s="17">
        <f>(E90-D90)*1000*7.2</f>
        <v>5759.999999999999</v>
      </c>
      <c r="H90" s="17">
        <f t="shared" si="9"/>
        <v>5759.999999999999</v>
      </c>
      <c r="I90" s="17"/>
      <c r="J90" s="17"/>
      <c r="K90" s="17">
        <f>H90</f>
        <v>5759.999999999999</v>
      </c>
      <c r="L90" s="17">
        <f>G90*0.02</f>
        <v>115.19999999999999</v>
      </c>
      <c r="M90" s="17">
        <f>H90</f>
        <v>5759.999999999999</v>
      </c>
      <c r="N90" s="17">
        <f>M90*0.06</f>
        <v>345.5999999999999</v>
      </c>
      <c r="O90" s="17">
        <f>M90</f>
        <v>5759.999999999999</v>
      </c>
      <c r="P90" s="17">
        <f>O90*0.04</f>
        <v>230.39999999999998</v>
      </c>
      <c r="Q90" s="22">
        <f t="shared" si="12"/>
        <v>829.4399999999997</v>
      </c>
      <c r="R90" s="22">
        <f t="shared" si="13"/>
        <v>552.9599999999999</v>
      </c>
      <c r="S90" s="22">
        <f t="shared" si="14"/>
        <v>276.47999999999996</v>
      </c>
      <c r="T90" s="2"/>
      <c r="U90" s="2"/>
      <c r="V90" s="65" t="s">
        <v>75</v>
      </c>
    </row>
    <row r="91" spans="1:22" ht="12.75">
      <c r="A91" s="85"/>
      <c r="B91" s="6"/>
      <c r="C91" s="6"/>
      <c r="D91" s="2">
        <v>0.65</v>
      </c>
      <c r="E91" s="2">
        <v>1.45</v>
      </c>
      <c r="F91" s="4" t="s">
        <v>64</v>
      </c>
      <c r="G91" s="17">
        <f>(E91-D91)*1000*5</f>
        <v>3999.9999999999995</v>
      </c>
      <c r="H91" s="17">
        <f t="shared" si="9"/>
        <v>3999.9999999999995</v>
      </c>
      <c r="I91" s="17"/>
      <c r="J91" s="17"/>
      <c r="K91" s="17">
        <f>H91</f>
        <v>3999.9999999999995</v>
      </c>
      <c r="L91" s="17">
        <f>G91*0.02</f>
        <v>79.99999999999999</v>
      </c>
      <c r="M91" s="17"/>
      <c r="N91" s="17"/>
      <c r="O91" s="17"/>
      <c r="P91" s="17"/>
      <c r="Q91" s="22">
        <f t="shared" si="12"/>
        <v>0</v>
      </c>
      <c r="R91" s="22">
        <f t="shared" si="13"/>
        <v>0</v>
      </c>
      <c r="S91" s="22">
        <f t="shared" si="14"/>
        <v>191.99999999999997</v>
      </c>
      <c r="T91" s="2"/>
      <c r="U91" s="2"/>
      <c r="V91" s="50" t="s">
        <v>66</v>
      </c>
    </row>
    <row r="92" spans="1:22" ht="12.75">
      <c r="A92" s="85"/>
      <c r="B92" s="6"/>
      <c r="C92" s="7" t="s">
        <v>39</v>
      </c>
      <c r="D92" s="2">
        <v>1.45</v>
      </c>
      <c r="E92" s="2">
        <v>1.551</v>
      </c>
      <c r="F92" s="4" t="s">
        <v>63</v>
      </c>
      <c r="G92" s="17">
        <f>(E92-D92)*1000*7.2</f>
        <v>727.1999999999998</v>
      </c>
      <c r="H92" s="17">
        <f>G92</f>
        <v>727.1999999999998</v>
      </c>
      <c r="I92" s="17">
        <f>H92</f>
        <v>727.1999999999998</v>
      </c>
      <c r="J92" s="17"/>
      <c r="K92" s="17"/>
      <c r="L92" s="17"/>
      <c r="M92" s="17"/>
      <c r="N92" s="17"/>
      <c r="O92" s="17"/>
      <c r="P92" s="17"/>
      <c r="Q92" s="22">
        <f t="shared" si="12"/>
        <v>0</v>
      </c>
      <c r="R92" s="22">
        <f t="shared" si="13"/>
        <v>0</v>
      </c>
      <c r="S92" s="22">
        <f t="shared" si="14"/>
        <v>0</v>
      </c>
      <c r="T92" s="2"/>
      <c r="U92" s="2"/>
      <c r="V92" s="50" t="s">
        <v>76</v>
      </c>
    </row>
    <row r="93" spans="1:22" ht="25.5">
      <c r="A93" s="85"/>
      <c r="B93" s="7" t="s">
        <v>39</v>
      </c>
      <c r="C93" s="8" t="s">
        <v>38</v>
      </c>
      <c r="D93" s="2">
        <v>1.551</v>
      </c>
      <c r="E93" s="2">
        <v>2.111</v>
      </c>
      <c r="F93" s="4" t="s">
        <v>63</v>
      </c>
      <c r="G93" s="17">
        <f>(E93-D93)*1000*7.2</f>
        <v>4032.000000000002</v>
      </c>
      <c r="H93" s="17">
        <f>G93</f>
        <v>4032.000000000002</v>
      </c>
      <c r="I93" s="17">
        <f>H93</f>
        <v>4032.000000000002</v>
      </c>
      <c r="J93" s="17"/>
      <c r="K93" s="17"/>
      <c r="L93" s="17"/>
      <c r="M93" s="17"/>
      <c r="N93" s="17"/>
      <c r="O93" s="17"/>
      <c r="P93" s="17"/>
      <c r="Q93" s="22">
        <f t="shared" si="12"/>
        <v>0</v>
      </c>
      <c r="R93" s="22">
        <f t="shared" si="13"/>
        <v>0</v>
      </c>
      <c r="S93" s="22">
        <f t="shared" si="14"/>
        <v>0</v>
      </c>
      <c r="T93" s="2"/>
      <c r="U93" s="2"/>
      <c r="V93" s="50" t="s">
        <v>76</v>
      </c>
    </row>
    <row r="94" spans="1:22" ht="25.5">
      <c r="A94" s="77" t="s">
        <v>33</v>
      </c>
      <c r="B94" s="78" t="s">
        <v>34</v>
      </c>
      <c r="C94" s="6"/>
      <c r="D94" s="2">
        <v>0</v>
      </c>
      <c r="E94" s="2">
        <v>0.275</v>
      </c>
      <c r="F94" s="60" t="s">
        <v>77</v>
      </c>
      <c r="G94" s="17">
        <f>(E94-D94)*1000*7.2</f>
        <v>1980</v>
      </c>
      <c r="H94" s="17">
        <f aca="true" t="shared" si="15" ref="H94:H105">G94</f>
        <v>1980</v>
      </c>
      <c r="I94" s="17">
        <f>H94</f>
        <v>1980</v>
      </c>
      <c r="J94" s="17"/>
      <c r="K94" s="17"/>
      <c r="L94" s="17"/>
      <c r="M94" s="17"/>
      <c r="N94" s="17"/>
      <c r="O94" s="17"/>
      <c r="P94" s="17"/>
      <c r="Q94" s="22">
        <f t="shared" si="12"/>
        <v>0</v>
      </c>
      <c r="R94" s="22">
        <f t="shared" si="13"/>
        <v>0</v>
      </c>
      <c r="S94" s="22">
        <f t="shared" si="14"/>
        <v>0</v>
      </c>
      <c r="T94" s="2"/>
      <c r="U94" s="2"/>
      <c r="V94" s="50" t="s">
        <v>76</v>
      </c>
    </row>
    <row r="95" spans="1:22" ht="25.5">
      <c r="A95" s="77"/>
      <c r="B95" s="78"/>
      <c r="C95" s="6"/>
      <c r="D95" s="2">
        <v>0</v>
      </c>
      <c r="E95" s="2">
        <v>0.275</v>
      </c>
      <c r="F95" s="60" t="s">
        <v>78</v>
      </c>
      <c r="G95" s="17">
        <f>(E95-D95)*1000*7.2</f>
        <v>1980</v>
      </c>
      <c r="H95" s="17">
        <f t="shared" si="15"/>
        <v>1980</v>
      </c>
      <c r="I95" s="17"/>
      <c r="J95" s="17"/>
      <c r="K95" s="17">
        <f>H95</f>
        <v>1980</v>
      </c>
      <c r="L95" s="17">
        <f>H95*0.015</f>
        <v>29.7</v>
      </c>
      <c r="M95" s="17"/>
      <c r="N95" s="17"/>
      <c r="O95" s="17">
        <f>H95</f>
        <v>1980</v>
      </c>
      <c r="P95" s="17">
        <f>O95*0.04</f>
        <v>79.2</v>
      </c>
      <c r="Q95" s="22">
        <f t="shared" si="12"/>
        <v>0</v>
      </c>
      <c r="R95" s="22">
        <f t="shared" si="13"/>
        <v>190.08</v>
      </c>
      <c r="S95" s="22">
        <f t="shared" si="14"/>
        <v>71.28</v>
      </c>
      <c r="T95" s="2"/>
      <c r="U95" s="2"/>
      <c r="V95" s="50" t="s">
        <v>27</v>
      </c>
    </row>
    <row r="96" spans="1:22" ht="12.75">
      <c r="A96" s="52">
        <v>900</v>
      </c>
      <c r="B96" s="6" t="s">
        <v>35</v>
      </c>
      <c r="C96" s="6" t="s">
        <v>36</v>
      </c>
      <c r="D96" s="2">
        <v>0</v>
      </c>
      <c r="E96" s="2">
        <v>0.432</v>
      </c>
      <c r="F96" s="4" t="s">
        <v>63</v>
      </c>
      <c r="G96" s="17">
        <f>(E96-D96)*1000*7.2</f>
        <v>3110.4</v>
      </c>
      <c r="H96" s="17">
        <f t="shared" si="15"/>
        <v>3110.4</v>
      </c>
      <c r="I96" s="17"/>
      <c r="J96" s="17"/>
      <c r="K96" s="17">
        <f>H96</f>
        <v>3110.4</v>
      </c>
      <c r="L96" s="17">
        <f>G96*0.02</f>
        <v>62.208000000000006</v>
      </c>
      <c r="M96" s="17"/>
      <c r="N96" s="17"/>
      <c r="O96" s="17">
        <f>H96</f>
        <v>3110.4</v>
      </c>
      <c r="P96" s="17">
        <f>O96*0.04</f>
        <v>124.41600000000001</v>
      </c>
      <c r="Q96" s="22">
        <f t="shared" si="12"/>
        <v>0</v>
      </c>
      <c r="R96" s="22">
        <f t="shared" si="13"/>
        <v>298.5984</v>
      </c>
      <c r="S96" s="22">
        <f t="shared" si="14"/>
        <v>149.2992</v>
      </c>
      <c r="T96" s="2"/>
      <c r="U96" s="2"/>
      <c r="V96" s="50" t="s">
        <v>27</v>
      </c>
    </row>
    <row r="97" spans="1:22" ht="12.75">
      <c r="A97" s="52"/>
      <c r="B97" s="6"/>
      <c r="C97" s="6"/>
      <c r="D97" s="2">
        <v>0</v>
      </c>
      <c r="E97" s="2">
        <v>0.432</v>
      </c>
      <c r="F97" s="4" t="s">
        <v>64</v>
      </c>
      <c r="G97" s="17">
        <f>(E97-D97)*1000*5</f>
        <v>2160</v>
      </c>
      <c r="H97" s="17">
        <f t="shared" si="15"/>
        <v>2160</v>
      </c>
      <c r="I97" s="17"/>
      <c r="J97" s="17"/>
      <c r="K97" s="17">
        <f>H97</f>
        <v>2160</v>
      </c>
      <c r="L97" s="17">
        <f>G97*0.02</f>
        <v>43.2</v>
      </c>
      <c r="M97" s="17"/>
      <c r="N97" s="17"/>
      <c r="O97" s="17">
        <f>H97</f>
        <v>2160</v>
      </c>
      <c r="P97" s="17">
        <f>O97*0.04</f>
        <v>86.4</v>
      </c>
      <c r="Q97" s="22">
        <f t="shared" si="12"/>
        <v>0</v>
      </c>
      <c r="R97" s="22">
        <f t="shared" si="13"/>
        <v>207.36</v>
      </c>
      <c r="S97" s="22">
        <f t="shared" si="14"/>
        <v>103.68</v>
      </c>
      <c r="T97" s="2"/>
      <c r="U97" s="2"/>
      <c r="V97" s="50" t="s">
        <v>27</v>
      </c>
    </row>
    <row r="98" spans="1:22" ht="12.75">
      <c r="A98" s="52">
        <v>900</v>
      </c>
      <c r="B98" s="6" t="s">
        <v>35</v>
      </c>
      <c r="C98" s="6" t="s">
        <v>35</v>
      </c>
      <c r="D98" s="2">
        <v>0</v>
      </c>
      <c r="E98" s="2">
        <v>0.06</v>
      </c>
      <c r="F98" s="4" t="s">
        <v>63</v>
      </c>
      <c r="G98" s="17">
        <f>(E98-D98)*1000*8</f>
        <v>480</v>
      </c>
      <c r="H98" s="17">
        <f t="shared" si="15"/>
        <v>480</v>
      </c>
      <c r="I98" s="17">
        <f>H98</f>
        <v>480</v>
      </c>
      <c r="J98" s="17"/>
      <c r="K98" s="17"/>
      <c r="L98" s="17"/>
      <c r="M98" s="17"/>
      <c r="N98" s="17"/>
      <c r="O98" s="17"/>
      <c r="P98" s="17"/>
      <c r="Q98" s="22">
        <f t="shared" si="12"/>
        <v>0</v>
      </c>
      <c r="R98" s="22">
        <f t="shared" si="13"/>
        <v>0</v>
      </c>
      <c r="S98" s="22">
        <f t="shared" si="14"/>
        <v>0</v>
      </c>
      <c r="T98" s="2"/>
      <c r="U98" s="2"/>
      <c r="V98" s="50" t="s">
        <v>76</v>
      </c>
    </row>
    <row r="99" spans="1:22" ht="12.75">
      <c r="A99" s="77">
        <v>900</v>
      </c>
      <c r="B99" s="78" t="s">
        <v>37</v>
      </c>
      <c r="C99" s="7" t="s">
        <v>79</v>
      </c>
      <c r="D99" s="2">
        <v>0</v>
      </c>
      <c r="E99" s="2">
        <v>0.33</v>
      </c>
      <c r="F99" s="4" t="s">
        <v>63</v>
      </c>
      <c r="G99" s="17">
        <f>(E99-D99)*1000*8</f>
        <v>2640</v>
      </c>
      <c r="H99" s="17">
        <f t="shared" si="15"/>
        <v>2640</v>
      </c>
      <c r="I99" s="17">
        <f aca="true" t="shared" si="16" ref="I99:I105">H99</f>
        <v>2640</v>
      </c>
      <c r="J99" s="17"/>
      <c r="K99" s="17"/>
      <c r="L99" s="17"/>
      <c r="M99" s="17"/>
      <c r="N99" s="17"/>
      <c r="O99" s="17"/>
      <c r="P99" s="17"/>
      <c r="Q99" s="22">
        <f t="shared" si="12"/>
        <v>0</v>
      </c>
      <c r="R99" s="22">
        <f t="shared" si="13"/>
        <v>0</v>
      </c>
      <c r="S99" s="22">
        <f t="shared" si="14"/>
        <v>0</v>
      </c>
      <c r="T99" s="2"/>
      <c r="U99" s="2"/>
      <c r="V99" s="50" t="s">
        <v>76</v>
      </c>
    </row>
    <row r="100" spans="1:22" ht="12.75">
      <c r="A100" s="77"/>
      <c r="B100" s="78"/>
      <c r="C100" s="7" t="s">
        <v>80</v>
      </c>
      <c r="D100" s="2">
        <v>0</v>
      </c>
      <c r="E100" s="2">
        <v>0.33</v>
      </c>
      <c r="F100" s="4" t="s">
        <v>63</v>
      </c>
      <c r="G100" s="17">
        <f>(E100-D100)*1000*8</f>
        <v>2640</v>
      </c>
      <c r="H100" s="17">
        <f t="shared" si="15"/>
        <v>2640</v>
      </c>
      <c r="I100" s="17">
        <f t="shared" si="16"/>
        <v>2640</v>
      </c>
      <c r="J100" s="17"/>
      <c r="K100" s="17"/>
      <c r="L100" s="17"/>
      <c r="M100" s="17"/>
      <c r="N100" s="17"/>
      <c r="O100" s="17"/>
      <c r="P100" s="17"/>
      <c r="Q100" s="22">
        <f t="shared" si="12"/>
        <v>0</v>
      </c>
      <c r="R100" s="22">
        <f t="shared" si="13"/>
        <v>0</v>
      </c>
      <c r="S100" s="22">
        <f t="shared" si="14"/>
        <v>0</v>
      </c>
      <c r="T100" s="2"/>
      <c r="U100" s="2"/>
      <c r="V100" s="50" t="s">
        <v>76</v>
      </c>
    </row>
    <row r="101" spans="1:22" ht="25.5">
      <c r="A101" s="77">
        <v>500</v>
      </c>
      <c r="B101" s="5" t="s">
        <v>84</v>
      </c>
      <c r="C101" s="8" t="s">
        <v>85</v>
      </c>
      <c r="D101" s="2">
        <v>0</v>
      </c>
      <c r="E101" s="2">
        <v>0.2</v>
      </c>
      <c r="F101" s="4" t="s">
        <v>63</v>
      </c>
      <c r="G101" s="17">
        <f>(E101-D101)*1000*7.2</f>
        <v>1440</v>
      </c>
      <c r="H101" s="17">
        <f t="shared" si="15"/>
        <v>1440</v>
      </c>
      <c r="I101" s="17">
        <f t="shared" si="16"/>
        <v>1440</v>
      </c>
      <c r="J101" s="17"/>
      <c r="K101" s="17"/>
      <c r="L101" s="17"/>
      <c r="M101" s="17"/>
      <c r="N101" s="17"/>
      <c r="O101" s="17"/>
      <c r="P101" s="17"/>
      <c r="Q101" s="22">
        <f t="shared" si="12"/>
        <v>0</v>
      </c>
      <c r="R101" s="22">
        <f t="shared" si="13"/>
        <v>0</v>
      </c>
      <c r="S101" s="22">
        <f t="shared" si="14"/>
        <v>0</v>
      </c>
      <c r="T101" s="2"/>
      <c r="U101" s="2"/>
      <c r="V101" s="50" t="s">
        <v>76</v>
      </c>
    </row>
    <row r="102" spans="1:22" ht="12.75">
      <c r="A102" s="77"/>
      <c r="B102" s="8" t="s">
        <v>86</v>
      </c>
      <c r="C102" s="7" t="s">
        <v>84</v>
      </c>
      <c r="D102" s="2">
        <v>0</v>
      </c>
      <c r="E102" s="2">
        <v>0.06</v>
      </c>
      <c r="F102" s="4" t="s">
        <v>63</v>
      </c>
      <c r="G102" s="17">
        <f>(E102-D102)*1000*7.2</f>
        <v>432</v>
      </c>
      <c r="H102" s="17">
        <f t="shared" si="15"/>
        <v>432</v>
      </c>
      <c r="I102" s="17">
        <f t="shared" si="16"/>
        <v>432</v>
      </c>
      <c r="J102" s="17"/>
      <c r="K102" s="17"/>
      <c r="L102" s="17"/>
      <c r="M102" s="17"/>
      <c r="N102" s="17"/>
      <c r="O102" s="17"/>
      <c r="P102" s="17"/>
      <c r="Q102" s="22">
        <f t="shared" si="12"/>
        <v>0</v>
      </c>
      <c r="R102" s="22">
        <f t="shared" si="13"/>
        <v>0</v>
      </c>
      <c r="S102" s="22">
        <f t="shared" si="14"/>
        <v>0</v>
      </c>
      <c r="T102" s="2"/>
      <c r="U102" s="2"/>
      <c r="V102" s="50" t="s">
        <v>76</v>
      </c>
    </row>
    <row r="103" spans="1:22" ht="12.75">
      <c r="A103" s="77"/>
      <c r="B103" s="8" t="s">
        <v>86</v>
      </c>
      <c r="C103" s="7" t="s">
        <v>87</v>
      </c>
      <c r="D103" s="2">
        <v>0.2</v>
      </c>
      <c r="E103" s="2">
        <v>1.2</v>
      </c>
      <c r="F103" s="4" t="s">
        <v>63</v>
      </c>
      <c r="G103" s="17">
        <f>(E103-D103)*1000*7.2</f>
        <v>7200</v>
      </c>
      <c r="H103" s="17">
        <f t="shared" si="15"/>
        <v>7200</v>
      </c>
      <c r="I103" s="17">
        <f t="shared" si="16"/>
        <v>7200</v>
      </c>
      <c r="J103" s="17"/>
      <c r="K103" s="17"/>
      <c r="L103" s="17"/>
      <c r="M103" s="17"/>
      <c r="N103" s="17"/>
      <c r="O103" s="17"/>
      <c r="P103" s="17"/>
      <c r="Q103" s="22">
        <f t="shared" si="12"/>
        <v>0</v>
      </c>
      <c r="R103" s="22">
        <f t="shared" si="13"/>
        <v>0</v>
      </c>
      <c r="S103" s="22">
        <f t="shared" si="14"/>
        <v>0</v>
      </c>
      <c r="T103" s="2"/>
      <c r="U103" s="2"/>
      <c r="V103" s="50" t="s">
        <v>76</v>
      </c>
    </row>
    <row r="104" spans="1:22" ht="38.25">
      <c r="A104" s="77"/>
      <c r="B104" s="8" t="s">
        <v>87</v>
      </c>
      <c r="C104" s="8" t="s">
        <v>83</v>
      </c>
      <c r="D104" s="2">
        <v>0</v>
      </c>
      <c r="E104" s="2">
        <v>0.25</v>
      </c>
      <c r="F104" s="4" t="s">
        <v>63</v>
      </c>
      <c r="G104" s="17">
        <f>(E104-D104)*1000*6</f>
        <v>1500</v>
      </c>
      <c r="H104" s="17">
        <f t="shared" si="15"/>
        <v>1500</v>
      </c>
      <c r="I104" s="17">
        <f t="shared" si="16"/>
        <v>1500</v>
      </c>
      <c r="J104" s="17"/>
      <c r="K104" s="17"/>
      <c r="L104" s="17"/>
      <c r="M104" s="17"/>
      <c r="N104" s="17"/>
      <c r="O104" s="17"/>
      <c r="P104" s="17"/>
      <c r="Q104" s="22">
        <f t="shared" si="12"/>
        <v>0</v>
      </c>
      <c r="R104" s="22">
        <f t="shared" si="13"/>
        <v>0</v>
      </c>
      <c r="S104" s="22">
        <f t="shared" si="14"/>
        <v>0</v>
      </c>
      <c r="T104" s="2"/>
      <c r="U104" s="2"/>
      <c r="V104" s="50" t="s">
        <v>76</v>
      </c>
    </row>
    <row r="105" spans="1:22" ht="25.5">
      <c r="A105" s="77"/>
      <c r="B105" s="8" t="s">
        <v>87</v>
      </c>
      <c r="C105" s="8" t="s">
        <v>88</v>
      </c>
      <c r="D105" s="2">
        <v>0</v>
      </c>
      <c r="E105" s="2">
        <v>0.25</v>
      </c>
      <c r="F105" s="4" t="s">
        <v>63</v>
      </c>
      <c r="G105" s="17">
        <f>(E105-D105)*1000*4</f>
        <v>1000</v>
      </c>
      <c r="H105" s="17">
        <f t="shared" si="15"/>
        <v>1000</v>
      </c>
      <c r="I105" s="17">
        <f t="shared" si="16"/>
        <v>1000</v>
      </c>
      <c r="J105" s="17"/>
      <c r="K105" s="17"/>
      <c r="L105" s="17"/>
      <c r="M105" s="17"/>
      <c r="N105" s="17"/>
      <c r="O105" s="17"/>
      <c r="P105" s="17"/>
      <c r="Q105" s="22">
        <f t="shared" si="12"/>
        <v>0</v>
      </c>
      <c r="R105" s="22">
        <f t="shared" si="13"/>
        <v>0</v>
      </c>
      <c r="S105" s="22">
        <f t="shared" si="14"/>
        <v>0</v>
      </c>
      <c r="T105" s="2"/>
      <c r="U105" s="2"/>
      <c r="V105" s="50" t="s">
        <v>76</v>
      </c>
    </row>
    <row r="106" spans="1:22" ht="12.75">
      <c r="A106" s="66"/>
      <c r="B106" s="62"/>
      <c r="C106" s="63"/>
      <c r="D106" s="61"/>
      <c r="E106" s="61"/>
      <c r="F106" s="61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61"/>
      <c r="R106" s="61"/>
      <c r="S106" s="61"/>
      <c r="T106" s="61"/>
      <c r="U106" s="61"/>
      <c r="V106" s="67"/>
    </row>
    <row r="107" spans="1:22" ht="13.5" thickBot="1">
      <c r="A107" s="68"/>
      <c r="B107" s="79" t="s">
        <v>91</v>
      </c>
      <c r="C107" s="80"/>
      <c r="D107" s="80"/>
      <c r="E107" s="80"/>
      <c r="F107" s="69"/>
      <c r="G107" s="42">
        <f>SUM(G66:G106)</f>
        <v>61755.600000000006</v>
      </c>
      <c r="H107" s="42">
        <f>SUM(H66:H106)</f>
        <v>61755.600000000006</v>
      </c>
      <c r="I107" s="42">
        <f>SUM(I66:I106)</f>
        <v>24071.2</v>
      </c>
      <c r="J107" s="42">
        <f>SUM(J66:J106)</f>
        <v>3960.000000000001</v>
      </c>
      <c r="K107" s="42">
        <f>SUM(K66:K105)</f>
        <v>30552.4</v>
      </c>
      <c r="L107" s="42">
        <f>SUM(L66:L105)</f>
        <v>601.148</v>
      </c>
      <c r="M107" s="42">
        <f aca="true" t="shared" si="17" ref="M107:S107">SUM(M66:M105)</f>
        <v>15696</v>
      </c>
      <c r="N107" s="42">
        <f t="shared" si="17"/>
        <v>913.8399999999999</v>
      </c>
      <c r="O107" s="42">
        <f t="shared" si="17"/>
        <v>27774.4</v>
      </c>
      <c r="P107" s="42">
        <f t="shared" si="17"/>
        <v>1090.4360000000001</v>
      </c>
      <c r="Q107" s="42">
        <f t="shared" si="17"/>
        <v>2193.2159999999994</v>
      </c>
      <c r="R107" s="42">
        <f t="shared" si="17"/>
        <v>2617.0463999999997</v>
      </c>
      <c r="S107" s="42">
        <f t="shared" si="17"/>
        <v>1442.7551999999998</v>
      </c>
      <c r="T107" s="69"/>
      <c r="U107" s="69"/>
      <c r="V107" s="70"/>
    </row>
    <row r="111" spans="1:22" ht="15" customHeight="1">
      <c r="A111" s="89" t="s">
        <v>126</v>
      </c>
      <c r="B111" s="89"/>
      <c r="C111" s="89"/>
      <c r="D111" s="89"/>
      <c r="E111" s="89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5" ht="12.75">
      <c r="A112" s="73" t="s">
        <v>127</v>
      </c>
      <c r="B112" s="61"/>
      <c r="C112" s="61"/>
      <c r="D112" s="37">
        <v>24071.2</v>
      </c>
      <c r="E112" s="73" t="s">
        <v>128</v>
      </c>
    </row>
    <row r="113" spans="1:5" ht="12.75">
      <c r="A113" s="73" t="s">
        <v>129</v>
      </c>
      <c r="B113" s="61"/>
      <c r="C113" s="61"/>
      <c r="D113" s="61">
        <v>0.0029</v>
      </c>
      <c r="E113" s="73" t="s">
        <v>130</v>
      </c>
    </row>
    <row r="114" spans="1:5" ht="12.75">
      <c r="A114" s="73" t="s">
        <v>138</v>
      </c>
      <c r="B114" s="61"/>
      <c r="C114" s="61"/>
      <c r="D114" s="74">
        <f>D112*D113</f>
        <v>69.80648</v>
      </c>
      <c r="E114" s="73" t="s">
        <v>131</v>
      </c>
    </row>
    <row r="116" spans="1:22" ht="12.75" customHeight="1">
      <c r="A116" s="89" t="s">
        <v>132</v>
      </c>
      <c r="B116" s="89"/>
      <c r="C116" s="89"/>
      <c r="D116" s="89"/>
      <c r="E116" s="89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5" ht="12.75">
      <c r="A117" s="73" t="s">
        <v>127</v>
      </c>
      <c r="B117" s="61"/>
      <c r="C117" s="61"/>
      <c r="D117" s="37">
        <v>3960</v>
      </c>
      <c r="E117" s="73" t="s">
        <v>128</v>
      </c>
    </row>
    <row r="118" spans="1:5" ht="12.75">
      <c r="A118" s="73" t="s">
        <v>129</v>
      </c>
      <c r="B118" s="61"/>
      <c r="C118" s="61"/>
      <c r="D118" s="61">
        <v>0.0014</v>
      </c>
      <c r="E118" s="73" t="s">
        <v>130</v>
      </c>
    </row>
    <row r="119" spans="1:5" ht="12.75">
      <c r="A119" s="73" t="s">
        <v>138</v>
      </c>
      <c r="B119" s="61"/>
      <c r="C119" s="61"/>
      <c r="D119" s="74">
        <f>D117*D118</f>
        <v>5.544</v>
      </c>
      <c r="E119" s="73" t="s">
        <v>131</v>
      </c>
    </row>
    <row r="121" spans="1:9" ht="12.75">
      <c r="A121" s="76" t="s">
        <v>135</v>
      </c>
      <c r="B121" s="76"/>
      <c r="C121" s="76"/>
      <c r="D121" s="76"/>
      <c r="E121" s="76"/>
      <c r="F121" s="76"/>
      <c r="G121" s="76"/>
      <c r="H121" s="76"/>
      <c r="I121" s="76"/>
    </row>
    <row r="122" spans="1:9" ht="12.75">
      <c r="A122" s="73" t="s">
        <v>127</v>
      </c>
      <c r="B122" s="61"/>
      <c r="C122" s="61"/>
      <c r="D122" s="37">
        <v>30552.4</v>
      </c>
      <c r="E122" s="73" t="s">
        <v>128</v>
      </c>
      <c r="F122" s="61">
        <v>601.15</v>
      </c>
      <c r="G122" s="37" t="s">
        <v>133</v>
      </c>
      <c r="H122" s="37">
        <f>F122*2.4</f>
        <v>1442.76</v>
      </c>
      <c r="I122" s="37" t="s">
        <v>134</v>
      </c>
    </row>
    <row r="123" spans="1:9" ht="12.75">
      <c r="A123" s="73" t="s">
        <v>129</v>
      </c>
      <c r="B123" s="61"/>
      <c r="C123" s="61"/>
      <c r="D123" s="61"/>
      <c r="E123" s="73"/>
      <c r="F123" s="61"/>
      <c r="G123" s="37"/>
      <c r="H123" s="75">
        <v>0.055</v>
      </c>
      <c r="I123" s="37" t="s">
        <v>136</v>
      </c>
    </row>
    <row r="124" spans="1:9" ht="12.75">
      <c r="A124" s="73" t="s">
        <v>137</v>
      </c>
      <c r="B124" s="61"/>
      <c r="C124" s="61"/>
      <c r="D124" s="74"/>
      <c r="E124" s="73"/>
      <c r="F124" s="61"/>
      <c r="G124" s="37"/>
      <c r="H124" s="37">
        <f>H122*H123</f>
        <v>79.3518</v>
      </c>
      <c r="I124" s="37" t="s">
        <v>131</v>
      </c>
    </row>
  </sheetData>
  <sheetProtection/>
  <mergeCells count="29">
    <mergeCell ref="A101:A105"/>
    <mergeCell ref="B107:E107"/>
    <mergeCell ref="A111:E111"/>
    <mergeCell ref="A116:E116"/>
    <mergeCell ref="V86:V87"/>
    <mergeCell ref="V80:V81"/>
    <mergeCell ref="V66:V68"/>
    <mergeCell ref="A66:A76"/>
    <mergeCell ref="A79:A93"/>
    <mergeCell ref="A99:A100"/>
    <mergeCell ref="B99:B100"/>
    <mergeCell ref="A4:V4"/>
    <mergeCell ref="A6:V6"/>
    <mergeCell ref="A9:V9"/>
    <mergeCell ref="A12:A22"/>
    <mergeCell ref="V12:V14"/>
    <mergeCell ref="A25:A39"/>
    <mergeCell ref="V26:V27"/>
    <mergeCell ref="V32:V33"/>
    <mergeCell ref="A121:I121"/>
    <mergeCell ref="A40:A41"/>
    <mergeCell ref="B40:B41"/>
    <mergeCell ref="A45:A46"/>
    <mergeCell ref="B45:B46"/>
    <mergeCell ref="A47:A51"/>
    <mergeCell ref="B53:E53"/>
    <mergeCell ref="A94:A95"/>
    <mergeCell ref="B94:B95"/>
    <mergeCell ref="A63:V6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4"/>
  <headerFooter alignWithMargins="0">
    <oddFooter>&amp;CAlexandre S. Angelim - Especialista Portuário - Registro 8267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8"/>
  <sheetViews>
    <sheetView showGridLines="0" view="pageLayout" workbookViewId="0" topLeftCell="A1">
      <selection activeCell="A7" sqref="A7"/>
    </sheetView>
  </sheetViews>
  <sheetFormatPr defaultColWidth="11.421875" defaultRowHeight="12.75"/>
  <cols>
    <col min="1" max="1" width="10.421875" style="0" customWidth="1"/>
    <col min="2" max="2" width="11.140625" style="0" customWidth="1"/>
    <col min="3" max="3" width="10.421875" style="0" customWidth="1"/>
    <col min="4" max="4" width="16.57421875" style="0" customWidth="1"/>
    <col min="5" max="5" width="10.421875" style="21" customWidth="1"/>
    <col min="6" max="6" width="11.28125" style="21" customWidth="1"/>
    <col min="7" max="7" width="9.28125" style="21" customWidth="1"/>
    <col min="8" max="8" width="10.7109375" style="21" customWidth="1"/>
  </cols>
  <sheetData>
    <row r="3" spans="1:10" ht="12.75">
      <c r="A3" s="81" t="s">
        <v>0</v>
      </c>
      <c r="B3" s="82"/>
      <c r="C3" s="82"/>
      <c r="D3" s="82"/>
      <c r="E3" s="82"/>
      <c r="F3" s="82"/>
      <c r="G3" s="82"/>
      <c r="H3" s="82"/>
      <c r="I3" s="58"/>
      <c r="J3" s="58"/>
    </row>
    <row r="6" spans="1:8" ht="12.75">
      <c r="A6" s="83" t="s">
        <v>115</v>
      </c>
      <c r="B6" s="83"/>
      <c r="C6" s="83"/>
      <c r="D6" s="83"/>
      <c r="E6" s="83"/>
      <c r="F6" s="83"/>
      <c r="G6" s="83"/>
      <c r="H6" s="83"/>
    </row>
    <row r="9" spans="1:8" ht="12.75">
      <c r="A9" s="83" t="s">
        <v>100</v>
      </c>
      <c r="B9" s="83"/>
      <c r="C9" s="83"/>
      <c r="D9" s="83"/>
      <c r="E9" s="83"/>
      <c r="F9" s="83"/>
      <c r="G9" s="83"/>
      <c r="H9" s="83"/>
    </row>
    <row r="10" ht="13.5" thickBot="1"/>
    <row r="11" spans="1:12" ht="38.25">
      <c r="A11" s="27" t="s">
        <v>14</v>
      </c>
      <c r="B11" s="38" t="s">
        <v>17</v>
      </c>
      <c r="C11" s="38" t="s">
        <v>18</v>
      </c>
      <c r="D11" s="38" t="s">
        <v>101</v>
      </c>
      <c r="E11" s="39" t="s">
        <v>94</v>
      </c>
      <c r="F11" s="39" t="s">
        <v>110</v>
      </c>
      <c r="G11" s="39" t="s">
        <v>111</v>
      </c>
      <c r="H11" s="40" t="s">
        <v>95</v>
      </c>
      <c r="L11" s="23"/>
    </row>
    <row r="12" spans="1:8" ht="13.5" customHeight="1">
      <c r="A12" s="85">
        <v>900</v>
      </c>
      <c r="B12" s="2">
        <v>0.03</v>
      </c>
      <c r="C12" s="2">
        <v>0.15</v>
      </c>
      <c r="D12" s="4">
        <f>(C12-B12)*1000</f>
        <v>120</v>
      </c>
      <c r="E12" s="17">
        <f aca="true" t="shared" si="0" ref="E12:E17">D12*0.4*0.55</f>
        <v>26.400000000000002</v>
      </c>
      <c r="F12" s="17">
        <f aca="true" t="shared" si="1" ref="F12:F17">D12*0.4*0.35</f>
        <v>16.799999999999997</v>
      </c>
      <c r="G12" s="17">
        <f aca="true" t="shared" si="2" ref="G12:G17">D12*(0.4+0.4+0.35+0.35+0.2)</f>
        <v>204</v>
      </c>
      <c r="H12" s="41">
        <f>E12*1.8</f>
        <v>47.52</v>
      </c>
    </row>
    <row r="13" spans="1:8" ht="12.75">
      <c r="A13" s="85"/>
      <c r="B13" s="2">
        <v>0.03</v>
      </c>
      <c r="C13" s="2">
        <v>0.15</v>
      </c>
      <c r="D13" s="4">
        <f>(C13-B13)*1000</f>
        <v>120</v>
      </c>
      <c r="E13" s="17">
        <f t="shared" si="0"/>
        <v>26.400000000000002</v>
      </c>
      <c r="F13" s="17">
        <f t="shared" si="1"/>
        <v>16.799999999999997</v>
      </c>
      <c r="G13" s="17">
        <f t="shared" si="2"/>
        <v>204</v>
      </c>
      <c r="H13" s="41">
        <f aca="true" t="shared" si="3" ref="H13:H18">E13*1.8</f>
        <v>47.52</v>
      </c>
    </row>
    <row r="14" spans="1:8" ht="12.75">
      <c r="A14" s="85"/>
      <c r="B14" s="91" t="s">
        <v>107</v>
      </c>
      <c r="C14" s="91"/>
      <c r="D14" s="4">
        <v>37</v>
      </c>
      <c r="E14" s="17">
        <f t="shared" si="0"/>
        <v>8.14</v>
      </c>
      <c r="F14" s="17">
        <f t="shared" si="1"/>
        <v>5.18</v>
      </c>
      <c r="G14" s="17">
        <f t="shared" si="2"/>
        <v>62.9</v>
      </c>
      <c r="H14" s="41">
        <f t="shared" si="3"/>
        <v>14.652000000000001</v>
      </c>
    </row>
    <row r="15" spans="1:8" ht="13.5" customHeight="1">
      <c r="A15" s="85"/>
      <c r="B15" s="2">
        <v>0.41</v>
      </c>
      <c r="C15" s="2">
        <v>0.55</v>
      </c>
      <c r="D15" s="4">
        <f>(C15-B15)*1000</f>
        <v>140.00000000000006</v>
      </c>
      <c r="E15" s="17">
        <f t="shared" si="0"/>
        <v>30.80000000000002</v>
      </c>
      <c r="F15" s="17">
        <f t="shared" si="1"/>
        <v>19.60000000000001</v>
      </c>
      <c r="G15" s="17">
        <f t="shared" si="2"/>
        <v>238.00000000000009</v>
      </c>
      <c r="H15" s="41">
        <f t="shared" si="3"/>
        <v>55.44000000000003</v>
      </c>
    </row>
    <row r="16" spans="1:8" ht="12.75">
      <c r="A16" s="85"/>
      <c r="B16" s="2">
        <v>0.41</v>
      </c>
      <c r="C16" s="2">
        <v>0.55</v>
      </c>
      <c r="D16" s="4">
        <f>(C16-B16)*1000</f>
        <v>140.00000000000006</v>
      </c>
      <c r="E16" s="17">
        <f t="shared" si="0"/>
        <v>30.80000000000002</v>
      </c>
      <c r="F16" s="17">
        <f t="shared" si="1"/>
        <v>19.60000000000001</v>
      </c>
      <c r="G16" s="17">
        <f t="shared" si="2"/>
        <v>238.00000000000009</v>
      </c>
      <c r="H16" s="41">
        <f t="shared" si="3"/>
        <v>55.44000000000003</v>
      </c>
    </row>
    <row r="17" spans="1:8" ht="12.75">
      <c r="A17" s="85"/>
      <c r="B17" s="91" t="s">
        <v>107</v>
      </c>
      <c r="C17" s="91"/>
      <c r="D17" s="4">
        <v>37</v>
      </c>
      <c r="E17" s="17">
        <f t="shared" si="0"/>
        <v>8.14</v>
      </c>
      <c r="F17" s="17">
        <f t="shared" si="1"/>
        <v>5.18</v>
      </c>
      <c r="G17" s="17">
        <f t="shared" si="2"/>
        <v>62.9</v>
      </c>
      <c r="H17" s="41">
        <f t="shared" si="3"/>
        <v>14.652000000000001</v>
      </c>
    </row>
    <row r="18" spans="1:8" ht="13.5" thickBot="1">
      <c r="A18" s="95"/>
      <c r="B18" s="92" t="s">
        <v>108</v>
      </c>
      <c r="C18" s="92"/>
      <c r="D18" s="16" t="s">
        <v>109</v>
      </c>
      <c r="E18" s="18">
        <f>4*1.15*1.15*1.15</f>
        <v>6.083499999999998</v>
      </c>
      <c r="F18" s="18"/>
      <c r="G18" s="18"/>
      <c r="H18" s="36">
        <f t="shared" si="3"/>
        <v>10.950299999999997</v>
      </c>
    </row>
    <row r="19" spans="1:8" ht="13.5" thickBot="1">
      <c r="A19" s="93" t="s">
        <v>99</v>
      </c>
      <c r="B19" s="94"/>
      <c r="C19" s="94"/>
      <c r="D19" s="13">
        <f>SUM(D12:D17)</f>
        <v>594.0000000000001</v>
      </c>
      <c r="E19" s="25">
        <f>SUM(E12:E18)</f>
        <v>136.76350000000005</v>
      </c>
      <c r="F19" s="25">
        <f>SUM(F12:F17)</f>
        <v>83.16000000000003</v>
      </c>
      <c r="G19" s="25">
        <f>SUM(G12:G18)</f>
        <v>1009.8000000000002</v>
      </c>
      <c r="H19" s="26">
        <f>SUM(H12:H18)</f>
        <v>246.17430000000004</v>
      </c>
    </row>
    <row r="22" spans="1:3" ht="12.75">
      <c r="A22" s="1" t="s">
        <v>102</v>
      </c>
      <c r="C22" s="1"/>
    </row>
    <row r="23" ht="12.75">
      <c r="A23" t="s">
        <v>103</v>
      </c>
    </row>
    <row r="24" spans="1:8" ht="26.25" customHeight="1">
      <c r="A24" s="90" t="s">
        <v>104</v>
      </c>
      <c r="B24" s="90"/>
      <c r="C24" s="90"/>
      <c r="D24" s="90"/>
      <c r="E24" s="90"/>
      <c r="F24" s="90"/>
      <c r="G24" s="90"/>
      <c r="H24" s="90"/>
    </row>
    <row r="25" ht="12.75">
      <c r="A25" t="s">
        <v>105</v>
      </c>
    </row>
    <row r="26" spans="1:8" ht="25.5" customHeight="1">
      <c r="A26" s="90" t="s">
        <v>106</v>
      </c>
      <c r="B26" s="90"/>
      <c r="C26" s="90"/>
      <c r="D26" s="90"/>
      <c r="E26" s="90"/>
      <c r="F26" s="90"/>
      <c r="G26" s="90"/>
      <c r="H26" s="90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</sheetData>
  <sheetProtection/>
  <mergeCells count="10">
    <mergeCell ref="A24:H24"/>
    <mergeCell ref="A26:H26"/>
    <mergeCell ref="A3:H3"/>
    <mergeCell ref="A6:H6"/>
    <mergeCell ref="A9:H9"/>
    <mergeCell ref="B17:C17"/>
    <mergeCell ref="B14:C14"/>
    <mergeCell ref="B18:C18"/>
    <mergeCell ref="A19:C19"/>
    <mergeCell ref="A12:A18"/>
  </mergeCells>
  <printOptions/>
  <pageMargins left="0.7" right="0.7" top="0.75" bottom="0.75" header="0.3" footer="0.3"/>
  <pageSetup fitToHeight="1" fitToWidth="1" horizontalDpi="600" verticalDpi="600" orientation="portrait" paperSize="9" scale="98" r:id="rId2"/>
  <headerFooter alignWithMargins="0">
    <oddFooter>&amp;CAlexandre S. Angelim - Especialista Portuário - Registro 8267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5"/>
  <sheetViews>
    <sheetView showGridLines="0" view="pageLayout" workbookViewId="0" topLeftCell="A1">
      <selection activeCell="A7" sqref="A7"/>
    </sheetView>
  </sheetViews>
  <sheetFormatPr defaultColWidth="11.421875" defaultRowHeight="12.75"/>
  <cols>
    <col min="1" max="1" width="10.421875" style="0" customWidth="1"/>
    <col min="2" max="2" width="10.28125" style="0" customWidth="1"/>
    <col min="3" max="3" width="9.28125" style="0" customWidth="1"/>
    <col min="4" max="4" width="16.57421875" style="0" customWidth="1"/>
    <col min="5" max="5" width="10.421875" style="21" customWidth="1"/>
    <col min="6" max="6" width="11.28125" style="21" customWidth="1"/>
    <col min="7" max="7" width="9.28125" style="21" customWidth="1"/>
    <col min="8" max="8" width="12.8515625" style="21" customWidth="1"/>
    <col min="9" max="9" width="10.7109375" style="21" customWidth="1"/>
    <col min="10" max="10" width="10.140625" style="21" customWidth="1"/>
    <col min="11" max="11" width="11.00390625" style="21" customWidth="1"/>
  </cols>
  <sheetData>
    <row r="4" spans="1:12" ht="12.7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59"/>
    </row>
    <row r="6" spans="1:11" ht="12.75">
      <c r="A6" s="83" t="s">
        <v>114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9" spans="1:11" ht="12.75">
      <c r="A9" s="83" t="s">
        <v>98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ht="13.5" thickBot="1"/>
    <row r="11" spans="1:15" ht="51.75" thickBot="1">
      <c r="A11" s="29" t="s">
        <v>14</v>
      </c>
      <c r="B11" s="30" t="s">
        <v>17</v>
      </c>
      <c r="C11" s="30" t="s">
        <v>18</v>
      </c>
      <c r="D11" s="30" t="s">
        <v>65</v>
      </c>
      <c r="E11" s="31" t="s">
        <v>54</v>
      </c>
      <c r="F11" s="31" t="s">
        <v>93</v>
      </c>
      <c r="G11" s="31" t="s">
        <v>94</v>
      </c>
      <c r="H11" s="31" t="s">
        <v>119</v>
      </c>
      <c r="I11" s="31" t="s">
        <v>95</v>
      </c>
      <c r="J11" s="31" t="s">
        <v>96</v>
      </c>
      <c r="K11" s="32" t="s">
        <v>97</v>
      </c>
      <c r="O11" s="23"/>
    </row>
    <row r="12" spans="1:11" ht="13.5" customHeight="1">
      <c r="A12" s="99">
        <v>900</v>
      </c>
      <c r="B12" s="27">
        <v>0.03</v>
      </c>
      <c r="C12" s="10">
        <v>0.15</v>
      </c>
      <c r="D12" s="14" t="s">
        <v>63</v>
      </c>
      <c r="E12" s="19">
        <f>(C12-B12)*1000*7.2</f>
        <v>864</v>
      </c>
      <c r="F12" s="19">
        <v>0.21</v>
      </c>
      <c r="G12" s="19">
        <f>E12*F12</f>
        <v>181.44</v>
      </c>
      <c r="H12" s="19">
        <f>G12*1.4</f>
        <v>254.016</v>
      </c>
      <c r="I12" s="19">
        <f>H12*1.8</f>
        <v>457.2288</v>
      </c>
      <c r="J12" s="19">
        <f>E12*0.15</f>
        <v>129.6</v>
      </c>
      <c r="K12" s="28">
        <f>E12*0.15</f>
        <v>129.6</v>
      </c>
    </row>
    <row r="13" spans="1:11" ht="13.5" thickBot="1">
      <c r="A13" s="100"/>
      <c r="B13" s="35">
        <v>0.03</v>
      </c>
      <c r="C13" s="9">
        <v>0.15</v>
      </c>
      <c r="D13" s="16" t="s">
        <v>64</v>
      </c>
      <c r="E13" s="18">
        <f>(C13-B13)*1000*5</f>
        <v>600</v>
      </c>
      <c r="F13" s="18">
        <v>0.21</v>
      </c>
      <c r="G13" s="18">
        <f>E13*F13</f>
        <v>126</v>
      </c>
      <c r="H13" s="18">
        <f>G13*1.4</f>
        <v>176.39999999999998</v>
      </c>
      <c r="I13" s="18">
        <f>H13*1.8</f>
        <v>317.52</v>
      </c>
      <c r="J13" s="18">
        <f>E13*0.15</f>
        <v>90</v>
      </c>
      <c r="K13" s="36">
        <f>E13*0.15</f>
        <v>90</v>
      </c>
    </row>
    <row r="14" spans="1:11" ht="13.5" customHeight="1">
      <c r="A14" s="100"/>
      <c r="B14" s="27">
        <v>0.41</v>
      </c>
      <c r="C14" s="10">
        <v>0.55</v>
      </c>
      <c r="D14" s="14" t="s">
        <v>63</v>
      </c>
      <c r="E14" s="19">
        <f>(C14-B14)*1000*7.2</f>
        <v>1008.0000000000005</v>
      </c>
      <c r="F14" s="19">
        <v>0.19</v>
      </c>
      <c r="G14" s="19">
        <f>E14*F14</f>
        <v>191.5200000000001</v>
      </c>
      <c r="H14" s="19">
        <f>G14*1.4</f>
        <v>268.1280000000001</v>
      </c>
      <c r="I14" s="19">
        <f>H14*1.8</f>
        <v>482.6304000000002</v>
      </c>
      <c r="J14" s="19">
        <f>E14*0.15</f>
        <v>151.20000000000007</v>
      </c>
      <c r="K14" s="28">
        <f>E14*0.15</f>
        <v>151.20000000000007</v>
      </c>
    </row>
    <row r="15" spans="1:11" ht="13.5" thickBot="1">
      <c r="A15" s="101"/>
      <c r="B15" s="33">
        <v>0.41</v>
      </c>
      <c r="C15" s="12">
        <v>0.55</v>
      </c>
      <c r="D15" s="15" t="s">
        <v>64</v>
      </c>
      <c r="E15" s="20">
        <f>(C15-B15)*1000*5</f>
        <v>700.0000000000002</v>
      </c>
      <c r="F15" s="20">
        <v>0.19</v>
      </c>
      <c r="G15" s="20">
        <f>E15*F15</f>
        <v>133.00000000000006</v>
      </c>
      <c r="H15" s="18">
        <f>G15*1.4</f>
        <v>186.20000000000007</v>
      </c>
      <c r="I15" s="18">
        <f>H15*1.8</f>
        <v>335.16000000000014</v>
      </c>
      <c r="J15" s="20">
        <f>E15*0.15</f>
        <v>105.00000000000003</v>
      </c>
      <c r="K15" s="34">
        <f>E15*0.15</f>
        <v>105.00000000000003</v>
      </c>
    </row>
    <row r="16" spans="1:11" ht="13.5" thickBot="1">
      <c r="A16" s="96" t="s">
        <v>99</v>
      </c>
      <c r="B16" s="97"/>
      <c r="C16" s="97"/>
      <c r="D16" s="98"/>
      <c r="E16" s="25">
        <f>SUM(E12:E15)</f>
        <v>3172.000000000001</v>
      </c>
      <c r="F16" s="25"/>
      <c r="G16" s="25">
        <f>SUM(G12:G15)</f>
        <v>631.9600000000002</v>
      </c>
      <c r="H16" s="25">
        <f>SUM(H12:H15)</f>
        <v>884.7440000000001</v>
      </c>
      <c r="I16" s="25">
        <f>SUM(I12:I15)</f>
        <v>1592.5392000000002</v>
      </c>
      <c r="J16" s="25">
        <f>SUM(J12:J15)</f>
        <v>475.80000000000007</v>
      </c>
      <c r="K16" s="26">
        <f>SUM(K12:K15)</f>
        <v>475.80000000000007</v>
      </c>
    </row>
    <row r="19" spans="1:3" ht="12.75">
      <c r="A19" s="1"/>
      <c r="C19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sheetProtection/>
  <mergeCells count="5">
    <mergeCell ref="A16:D16"/>
    <mergeCell ref="A9:K9"/>
    <mergeCell ref="A12:A15"/>
    <mergeCell ref="A4:K4"/>
    <mergeCell ref="A6:K6"/>
  </mergeCells>
  <printOptions/>
  <pageMargins left="0.7" right="0.7" top="0.75" bottom="0.75" header="0.3" footer="0.3"/>
  <pageSetup fitToHeight="1" fitToWidth="1" horizontalDpi="600" verticalDpi="600" orientation="portrait" paperSize="9" scale="66" r:id="rId2"/>
  <headerFooter alignWithMargins="0">
    <oddFooter>&amp;CAlexandre S. Angelim - Especialista Portuário - Registro 8267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showGridLines="0" view="pageLayout" workbookViewId="0" topLeftCell="A7">
      <selection activeCell="A26" sqref="A26"/>
    </sheetView>
  </sheetViews>
  <sheetFormatPr defaultColWidth="11.421875" defaultRowHeight="12.75"/>
  <sheetData>
    <row r="3" spans="1:11" ht="12.75">
      <c r="A3" s="82" t="s">
        <v>0</v>
      </c>
      <c r="B3" s="82"/>
      <c r="C3" s="82"/>
      <c r="D3" s="82"/>
      <c r="E3" s="82"/>
      <c r="F3" s="82"/>
      <c r="G3" s="82"/>
      <c r="H3" s="82"/>
      <c r="I3" s="58"/>
      <c r="J3" s="58"/>
      <c r="K3" s="58"/>
    </row>
    <row r="5" spans="1:8" ht="12.75">
      <c r="A5" s="83" t="s">
        <v>122</v>
      </c>
      <c r="B5" s="83"/>
      <c r="C5" s="83"/>
      <c r="D5" s="83"/>
      <c r="E5" s="83"/>
      <c r="F5" s="83"/>
      <c r="G5" s="83"/>
      <c r="H5" s="83"/>
    </row>
    <row r="7" spans="1:8" ht="12.75">
      <c r="A7" s="83" t="s">
        <v>116</v>
      </c>
      <c r="B7" s="83"/>
      <c r="C7" s="83"/>
      <c r="D7" s="83"/>
      <c r="E7" s="83"/>
      <c r="F7" s="83"/>
      <c r="G7" s="83"/>
      <c r="H7" s="83"/>
    </row>
    <row r="8" ht="13.5" thickBot="1"/>
    <row r="9" spans="1:8" ht="12.75">
      <c r="A9" s="43" t="s">
        <v>1</v>
      </c>
      <c r="B9" s="44"/>
      <c r="C9" s="44"/>
      <c r="D9" s="44"/>
      <c r="E9" s="44"/>
      <c r="F9" s="44"/>
      <c r="G9" s="44"/>
      <c r="H9" s="45"/>
    </row>
    <row r="10" spans="1:8" ht="12.75">
      <c r="A10" s="46"/>
      <c r="B10" s="47"/>
      <c r="C10" s="47"/>
      <c r="D10" s="47"/>
      <c r="E10" s="47"/>
      <c r="F10" s="47"/>
      <c r="G10" s="47"/>
      <c r="H10" s="48"/>
    </row>
    <row r="11" spans="1:8" ht="12.75">
      <c r="A11" s="46" t="s">
        <v>2</v>
      </c>
      <c r="B11" s="47"/>
      <c r="C11" s="47"/>
      <c r="D11" s="47"/>
      <c r="E11" s="47"/>
      <c r="F11" s="47"/>
      <c r="G11" s="47"/>
      <c r="H11" s="48"/>
    </row>
    <row r="12" spans="1:8" ht="12.75">
      <c r="A12" s="46"/>
      <c r="B12" s="47"/>
      <c r="C12" s="47"/>
      <c r="D12" s="47"/>
      <c r="E12" s="47"/>
      <c r="F12" s="47"/>
      <c r="G12" s="47"/>
      <c r="H12" s="48"/>
    </row>
    <row r="13" spans="1:8" ht="25.5" customHeight="1">
      <c r="A13" s="102" t="s">
        <v>3</v>
      </c>
      <c r="B13" s="103"/>
      <c r="C13" s="103"/>
      <c r="D13" s="103"/>
      <c r="E13" s="103"/>
      <c r="F13" s="103"/>
      <c r="G13" s="103"/>
      <c r="H13" s="48"/>
    </row>
    <row r="14" spans="1:8" ht="12.75">
      <c r="A14" s="46"/>
      <c r="B14" s="47"/>
      <c r="C14" s="47"/>
      <c r="D14" s="47"/>
      <c r="E14" s="47"/>
      <c r="F14" s="47"/>
      <c r="G14" s="47"/>
      <c r="H14" s="48"/>
    </row>
    <row r="15" spans="1:8" ht="26.25" customHeight="1">
      <c r="A15" s="102" t="s">
        <v>4</v>
      </c>
      <c r="B15" s="103"/>
      <c r="C15" s="103"/>
      <c r="D15" s="103"/>
      <c r="E15" s="103"/>
      <c r="F15" s="103"/>
      <c r="G15" s="103"/>
      <c r="H15" s="48"/>
    </row>
    <row r="16" spans="1:8" ht="12.75">
      <c r="A16" s="46"/>
      <c r="B16" s="47"/>
      <c r="C16" s="47"/>
      <c r="D16" s="47"/>
      <c r="E16" s="47"/>
      <c r="F16" s="47"/>
      <c r="G16" s="47"/>
      <c r="H16" s="48"/>
    </row>
    <row r="17" spans="1:8" ht="12.75">
      <c r="A17" s="46" t="s">
        <v>5</v>
      </c>
      <c r="B17" s="47"/>
      <c r="C17" s="47"/>
      <c r="D17" s="47"/>
      <c r="E17" s="47"/>
      <c r="F17" s="47"/>
      <c r="G17" s="47"/>
      <c r="H17" s="48"/>
    </row>
    <row r="18" spans="1:8" ht="12.75">
      <c r="A18" s="46"/>
      <c r="B18" s="47"/>
      <c r="C18" s="47"/>
      <c r="D18" s="47"/>
      <c r="E18" s="47"/>
      <c r="F18" s="47"/>
      <c r="G18" s="47"/>
      <c r="H18" s="48"/>
    </row>
    <row r="19" spans="1:8" ht="12.75">
      <c r="A19" s="46" t="s">
        <v>6</v>
      </c>
      <c r="B19" s="47"/>
      <c r="C19" s="47"/>
      <c r="D19" s="47"/>
      <c r="E19" s="47"/>
      <c r="F19" s="47"/>
      <c r="G19" s="47"/>
      <c r="H19" s="48"/>
    </row>
    <row r="20" spans="1:8" ht="12.75">
      <c r="A20" s="46"/>
      <c r="B20" s="47"/>
      <c r="C20" s="47"/>
      <c r="D20" s="47"/>
      <c r="E20" s="47"/>
      <c r="F20" s="47"/>
      <c r="G20" s="47"/>
      <c r="H20" s="48"/>
    </row>
    <row r="21" spans="1:8" ht="12.75">
      <c r="A21" s="54" t="s">
        <v>7</v>
      </c>
      <c r="B21" s="47"/>
      <c r="C21" s="47"/>
      <c r="D21" s="47"/>
      <c r="E21" s="47"/>
      <c r="F21" s="47"/>
      <c r="G21" s="47"/>
      <c r="H21" s="48"/>
    </row>
    <row r="22" spans="1:8" ht="12.75">
      <c r="A22" s="46"/>
      <c r="B22" s="47"/>
      <c r="C22" s="47"/>
      <c r="D22" s="47"/>
      <c r="E22" s="47"/>
      <c r="F22" s="47"/>
      <c r="G22" s="47"/>
      <c r="H22" s="48"/>
    </row>
    <row r="23" spans="1:8" ht="12.75">
      <c r="A23" s="54" t="s">
        <v>8</v>
      </c>
      <c r="B23" s="47"/>
      <c r="C23" s="47"/>
      <c r="D23" s="47"/>
      <c r="E23" s="47"/>
      <c r="F23" s="47"/>
      <c r="G23" s="47"/>
      <c r="H23" s="48"/>
    </row>
    <row r="24" spans="1:8" ht="12.75">
      <c r="A24" s="54" t="s">
        <v>9</v>
      </c>
      <c r="B24" s="47"/>
      <c r="C24" s="47"/>
      <c r="D24" s="47"/>
      <c r="E24" s="47"/>
      <c r="F24" s="47"/>
      <c r="G24" s="47"/>
      <c r="H24" s="48"/>
    </row>
    <row r="25" spans="1:8" ht="12.75">
      <c r="A25" s="54" t="s">
        <v>123</v>
      </c>
      <c r="B25" s="47"/>
      <c r="C25" s="47"/>
      <c r="D25" s="47"/>
      <c r="E25" s="47"/>
      <c r="F25" s="47"/>
      <c r="G25" s="47"/>
      <c r="H25" s="48"/>
    </row>
    <row r="26" spans="1:8" ht="12.75">
      <c r="A26" s="54" t="s">
        <v>10</v>
      </c>
      <c r="B26" s="47"/>
      <c r="C26" s="47"/>
      <c r="D26" s="47"/>
      <c r="E26" s="47"/>
      <c r="F26" s="47"/>
      <c r="G26" s="47"/>
      <c r="H26" s="48"/>
    </row>
    <row r="27" spans="1:8" ht="12.75">
      <c r="A27" s="54" t="s">
        <v>11</v>
      </c>
      <c r="B27" s="47"/>
      <c r="C27" s="47"/>
      <c r="D27" s="47"/>
      <c r="E27" s="47"/>
      <c r="F27" s="47"/>
      <c r="G27" s="47"/>
      <c r="H27" s="48"/>
    </row>
    <row r="28" spans="1:8" ht="12.75">
      <c r="A28" s="54" t="s">
        <v>12</v>
      </c>
      <c r="B28" s="47"/>
      <c r="C28" s="47"/>
      <c r="D28" s="47"/>
      <c r="E28" s="47"/>
      <c r="F28" s="47"/>
      <c r="G28" s="47"/>
      <c r="H28" s="48"/>
    </row>
    <row r="29" spans="1:8" ht="13.5" thickBot="1">
      <c r="A29" s="55"/>
      <c r="B29" s="56"/>
      <c r="C29" s="56"/>
      <c r="D29" s="56"/>
      <c r="E29" s="56"/>
      <c r="F29" s="56"/>
      <c r="G29" s="56"/>
      <c r="H29" s="57"/>
    </row>
  </sheetData>
  <sheetProtection/>
  <mergeCells count="5">
    <mergeCell ref="A13:G13"/>
    <mergeCell ref="A15:G15"/>
    <mergeCell ref="A3:H3"/>
    <mergeCell ref="A5:H5"/>
    <mergeCell ref="A7:H7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95" r:id="rId2"/>
  <headerFooter alignWithMargins="0">
    <oddFooter>&amp;CAlexandre S. Angelim - Especialista Portuário - Registro 8267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view="pageLayout" workbookViewId="0" topLeftCell="A7">
      <selection activeCell="G19" sqref="G19"/>
    </sheetView>
  </sheetViews>
  <sheetFormatPr defaultColWidth="11.421875" defaultRowHeight="12.75"/>
  <cols>
    <col min="1" max="1" width="10.421875" style="0" customWidth="1"/>
    <col min="2" max="2" width="13.140625" style="0" customWidth="1"/>
    <col min="3" max="3" width="11.7109375" style="0" customWidth="1"/>
    <col min="4" max="4" width="10.28125" style="0" customWidth="1"/>
    <col min="5" max="5" width="9.28125" style="0" customWidth="1"/>
    <col min="6" max="6" width="8.8515625" style="0" customWidth="1"/>
    <col min="7" max="7" width="9.140625" style="0" customWidth="1"/>
    <col min="8" max="8" width="7.28125" style="0" customWidth="1"/>
    <col min="9" max="9" width="8.140625" style="0" customWidth="1"/>
    <col min="10" max="10" width="6.421875" style="0" customWidth="1"/>
    <col min="11" max="11" width="23.140625" style="0" customWidth="1"/>
  </cols>
  <sheetData>
    <row r="1" spans="1:1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2.75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104"/>
    </row>
    <row r="4" spans="1:11" ht="12.75">
      <c r="A4" s="46"/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105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75">
      <c r="A7" s="46"/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2.75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12.75">
      <c r="A9" s="105" t="s">
        <v>13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</row>
    <row r="10" spans="1:11" ht="12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51">
      <c r="A11" s="49" t="s">
        <v>14</v>
      </c>
      <c r="B11" s="2" t="s">
        <v>15</v>
      </c>
      <c r="C11" s="2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50" t="s">
        <v>24</v>
      </c>
    </row>
    <row r="12" spans="1:11" ht="25.5">
      <c r="A12" s="108">
        <v>200</v>
      </c>
      <c r="B12" s="5" t="s">
        <v>2</v>
      </c>
      <c r="C12" s="6"/>
      <c r="D12" s="2">
        <v>0</v>
      </c>
      <c r="E12" s="2">
        <v>0.19</v>
      </c>
      <c r="F12" s="2">
        <v>76.3</v>
      </c>
      <c r="G12" s="2">
        <v>96.9</v>
      </c>
      <c r="H12" s="2">
        <v>220.9</v>
      </c>
      <c r="I12" s="2">
        <v>2318</v>
      </c>
      <c r="J12" s="2">
        <v>10.4</v>
      </c>
      <c r="K12" s="50" t="s">
        <v>25</v>
      </c>
    </row>
    <row r="13" spans="1:11" ht="12.75">
      <c r="A13" s="114"/>
      <c r="B13" s="6"/>
      <c r="C13" s="6"/>
      <c r="D13" s="2">
        <v>0.19</v>
      </c>
      <c r="E13" s="2">
        <v>0.43</v>
      </c>
      <c r="F13" s="2"/>
      <c r="G13" s="2"/>
      <c r="H13" s="2"/>
      <c r="I13" s="2"/>
      <c r="J13" s="2"/>
      <c r="K13" s="50"/>
    </row>
    <row r="14" spans="1:11" ht="12.75">
      <c r="A14" s="114"/>
      <c r="B14" s="6"/>
      <c r="C14" s="6"/>
      <c r="D14" s="2">
        <v>0.43</v>
      </c>
      <c r="E14" s="2">
        <v>0.53</v>
      </c>
      <c r="F14" s="2"/>
      <c r="G14" s="2"/>
      <c r="H14" s="2"/>
      <c r="I14" s="2"/>
      <c r="J14" s="2"/>
      <c r="K14" s="50"/>
    </row>
    <row r="15" spans="1:11" ht="12.75">
      <c r="A15" s="114"/>
      <c r="B15" s="6"/>
      <c r="C15" s="6"/>
      <c r="D15" s="2">
        <v>0.53</v>
      </c>
      <c r="E15" s="2">
        <v>0.67</v>
      </c>
      <c r="F15" s="2"/>
      <c r="G15" s="2"/>
      <c r="H15" s="2"/>
      <c r="I15" s="2"/>
      <c r="J15" s="2"/>
      <c r="K15" s="50"/>
    </row>
    <row r="16" spans="1:11" ht="12.75">
      <c r="A16" s="109"/>
      <c r="B16" s="6"/>
      <c r="C16" s="7" t="s">
        <v>28</v>
      </c>
      <c r="D16" s="2">
        <v>0.67</v>
      </c>
      <c r="E16" s="2">
        <v>1.105</v>
      </c>
      <c r="F16" s="2"/>
      <c r="G16" s="2"/>
      <c r="H16" s="2"/>
      <c r="I16" s="2"/>
      <c r="J16" s="2"/>
      <c r="K16" s="50"/>
    </row>
    <row r="17" spans="1:11" ht="12.75">
      <c r="A17" s="51" t="s">
        <v>28</v>
      </c>
      <c r="B17" s="7" t="s">
        <v>15</v>
      </c>
      <c r="C17" s="7" t="s">
        <v>16</v>
      </c>
      <c r="D17" s="2">
        <v>1.105</v>
      </c>
      <c r="E17" s="2">
        <v>1.6</v>
      </c>
      <c r="F17" s="2"/>
      <c r="G17" s="2"/>
      <c r="H17" s="2"/>
      <c r="I17" s="2"/>
      <c r="J17" s="2"/>
      <c r="K17" s="50" t="s">
        <v>72</v>
      </c>
    </row>
    <row r="18" spans="1:11" ht="38.25" customHeight="1">
      <c r="A18" s="95" t="s">
        <v>29</v>
      </c>
      <c r="B18" s="7" t="s">
        <v>28</v>
      </c>
      <c r="C18" s="6"/>
      <c r="D18" s="2">
        <v>0</v>
      </c>
      <c r="E18" s="2">
        <v>0.03</v>
      </c>
      <c r="F18" s="2">
        <v>40.6</v>
      </c>
      <c r="G18" s="2">
        <v>40.6</v>
      </c>
      <c r="H18" s="2">
        <v>230.6</v>
      </c>
      <c r="I18" s="2">
        <v>2315</v>
      </c>
      <c r="J18" s="2">
        <v>0</v>
      </c>
      <c r="K18" s="50" t="s">
        <v>26</v>
      </c>
    </row>
    <row r="19" spans="1:11" ht="12.75">
      <c r="A19" s="112"/>
      <c r="B19" s="6"/>
      <c r="C19" s="6"/>
      <c r="D19" s="2">
        <v>0.03</v>
      </c>
      <c r="E19" s="2">
        <v>0.15</v>
      </c>
      <c r="F19" s="2">
        <v>111.6</v>
      </c>
      <c r="G19" s="2">
        <v>139.5</v>
      </c>
      <c r="H19" s="2">
        <v>157.7</v>
      </c>
      <c r="I19" s="2">
        <v>1423</v>
      </c>
      <c r="J19" s="2">
        <v>16.7</v>
      </c>
      <c r="K19" s="50" t="s">
        <v>30</v>
      </c>
    </row>
    <row r="20" spans="1:11" ht="12.75">
      <c r="A20" s="112"/>
      <c r="B20" s="6"/>
      <c r="C20" s="6"/>
      <c r="D20" s="2">
        <v>0.15</v>
      </c>
      <c r="E20" s="2">
        <v>0.25</v>
      </c>
      <c r="F20" s="2">
        <v>51.9</v>
      </c>
      <c r="G20" s="2">
        <v>69.4</v>
      </c>
      <c r="H20" s="2">
        <v>416</v>
      </c>
      <c r="I20" s="2">
        <v>6003</v>
      </c>
      <c r="J20" s="2">
        <v>4.6</v>
      </c>
      <c r="K20" s="50" t="s">
        <v>27</v>
      </c>
    </row>
    <row r="21" spans="1:11" ht="12.75">
      <c r="A21" s="112"/>
      <c r="B21" s="6"/>
      <c r="C21" s="6"/>
      <c r="D21" s="2">
        <v>0.25</v>
      </c>
      <c r="E21" s="2">
        <v>0.41</v>
      </c>
      <c r="F21" s="2">
        <v>79.9</v>
      </c>
      <c r="G21" s="2">
        <v>93.7</v>
      </c>
      <c r="H21" s="2">
        <v>294.7</v>
      </c>
      <c r="I21" s="2">
        <v>3662</v>
      </c>
      <c r="J21" s="2">
        <v>9.8</v>
      </c>
      <c r="K21" s="50" t="s">
        <v>31</v>
      </c>
    </row>
    <row r="22" spans="1:11" ht="12.75">
      <c r="A22" s="112"/>
      <c r="B22" s="6"/>
      <c r="C22" s="6"/>
      <c r="D22" s="2">
        <v>0.41</v>
      </c>
      <c r="E22" s="2">
        <v>0.55</v>
      </c>
      <c r="F22" s="2">
        <v>127.3</v>
      </c>
      <c r="G22" s="2">
        <v>153.3</v>
      </c>
      <c r="H22" s="2">
        <v>102.3</v>
      </c>
      <c r="I22" s="2">
        <v>732</v>
      </c>
      <c r="J22" s="2">
        <v>18.4</v>
      </c>
      <c r="K22" s="50" t="s">
        <v>30</v>
      </c>
    </row>
    <row r="23" spans="1:11" ht="12.75">
      <c r="A23" s="112"/>
      <c r="B23" s="6"/>
      <c r="C23" s="6"/>
      <c r="D23" s="2">
        <v>0.55</v>
      </c>
      <c r="E23" s="2">
        <v>0.65</v>
      </c>
      <c r="F23" s="2">
        <v>49.5</v>
      </c>
      <c r="G23" s="2">
        <v>58.4</v>
      </c>
      <c r="H23" s="2">
        <v>230.9</v>
      </c>
      <c r="I23" s="2">
        <v>2370</v>
      </c>
      <c r="J23" s="2">
        <v>1.6</v>
      </c>
      <c r="K23" s="50" t="s">
        <v>26</v>
      </c>
    </row>
    <row r="24" spans="1:11" ht="12.75">
      <c r="A24" s="112"/>
      <c r="B24" s="6"/>
      <c r="C24" s="6"/>
      <c r="D24" s="2">
        <v>0.65</v>
      </c>
      <c r="E24" s="2">
        <v>1.45</v>
      </c>
      <c r="F24" s="2">
        <v>87.8</v>
      </c>
      <c r="G24" s="2">
        <v>106.2</v>
      </c>
      <c r="H24" s="2">
        <v>178.4</v>
      </c>
      <c r="I24" s="2">
        <v>1683</v>
      </c>
      <c r="J24" s="2">
        <v>12</v>
      </c>
      <c r="K24" s="50" t="s">
        <v>32</v>
      </c>
    </row>
    <row r="25" spans="1:11" ht="12.75">
      <c r="A25" s="112"/>
      <c r="B25" s="6"/>
      <c r="C25" s="7" t="s">
        <v>39</v>
      </c>
      <c r="D25" s="2">
        <v>1.45</v>
      </c>
      <c r="E25" s="2">
        <v>1.551</v>
      </c>
      <c r="F25" s="2">
        <v>38.6</v>
      </c>
      <c r="G25" s="2">
        <v>44.5</v>
      </c>
      <c r="H25" s="2">
        <v>500.1</v>
      </c>
      <c r="I25" s="2">
        <v>7761</v>
      </c>
      <c r="J25" s="2">
        <v>0</v>
      </c>
      <c r="K25" s="50" t="s">
        <v>76</v>
      </c>
    </row>
    <row r="26" spans="1:11" ht="38.25">
      <c r="A26" s="113"/>
      <c r="B26" s="7" t="s">
        <v>39</v>
      </c>
      <c r="C26" s="8" t="s">
        <v>38</v>
      </c>
      <c r="D26" s="2">
        <v>1.551</v>
      </c>
      <c r="E26" s="2">
        <v>2.111</v>
      </c>
      <c r="F26" s="2">
        <v>38.6</v>
      </c>
      <c r="G26" s="2">
        <v>44.5</v>
      </c>
      <c r="H26" s="2">
        <v>500.1</v>
      </c>
      <c r="I26" s="2">
        <v>7761</v>
      </c>
      <c r="J26" s="2">
        <v>0</v>
      </c>
      <c r="K26" s="50" t="s">
        <v>76</v>
      </c>
    </row>
    <row r="27" spans="1:11" ht="12.75">
      <c r="A27" s="52"/>
      <c r="B27" s="6"/>
      <c r="C27" s="6"/>
      <c r="D27" s="2"/>
      <c r="E27" s="2"/>
      <c r="F27" s="2"/>
      <c r="G27" s="2"/>
      <c r="H27" s="2"/>
      <c r="I27" s="2"/>
      <c r="J27" s="2"/>
      <c r="K27" s="53"/>
    </row>
    <row r="28" spans="1:11" ht="25.5" customHeight="1">
      <c r="A28" s="108" t="s">
        <v>33</v>
      </c>
      <c r="B28" s="110" t="s">
        <v>34</v>
      </c>
      <c r="C28" s="6"/>
      <c r="D28" s="2">
        <v>0</v>
      </c>
      <c r="E28" s="2">
        <v>0.275</v>
      </c>
      <c r="F28" s="2"/>
      <c r="G28" s="2"/>
      <c r="H28" s="2"/>
      <c r="I28" s="2"/>
      <c r="J28" s="2"/>
      <c r="K28" s="50" t="s">
        <v>76</v>
      </c>
    </row>
    <row r="29" spans="1:11" ht="12.75">
      <c r="A29" s="109"/>
      <c r="B29" s="111"/>
      <c r="C29" s="6"/>
      <c r="D29" s="2">
        <v>0</v>
      </c>
      <c r="E29" s="2">
        <v>0.275</v>
      </c>
      <c r="F29" s="2"/>
      <c r="G29" s="2"/>
      <c r="H29" s="2"/>
      <c r="I29" s="2"/>
      <c r="J29" s="2"/>
      <c r="K29" s="50" t="s">
        <v>27</v>
      </c>
    </row>
    <row r="30" spans="1:11" ht="12.75">
      <c r="A30" s="52"/>
      <c r="B30" s="6"/>
      <c r="C30" s="6"/>
      <c r="D30" s="2"/>
      <c r="E30" s="2"/>
      <c r="F30" s="2"/>
      <c r="G30" s="2"/>
      <c r="H30" s="2"/>
      <c r="I30" s="2"/>
      <c r="J30" s="2"/>
      <c r="K30" s="53"/>
    </row>
    <row r="31" spans="1:11" ht="12.75">
      <c r="A31" s="52">
        <v>900</v>
      </c>
      <c r="B31" s="6" t="s">
        <v>35</v>
      </c>
      <c r="C31" s="6" t="s">
        <v>36</v>
      </c>
      <c r="D31" s="2">
        <v>0</v>
      </c>
      <c r="E31" s="2">
        <v>0.432</v>
      </c>
      <c r="F31" s="2"/>
      <c r="G31" s="2"/>
      <c r="H31" s="2"/>
      <c r="I31" s="2"/>
      <c r="J31" s="2"/>
      <c r="K31" s="50" t="s">
        <v>27</v>
      </c>
    </row>
    <row r="32" spans="1:11" ht="12.75">
      <c r="A32" s="52"/>
      <c r="B32" s="6"/>
      <c r="C32" s="6"/>
      <c r="D32" s="2"/>
      <c r="E32" s="2"/>
      <c r="F32" s="2"/>
      <c r="G32" s="2"/>
      <c r="H32" s="2"/>
      <c r="I32" s="2"/>
      <c r="J32" s="2"/>
      <c r="K32" s="53"/>
    </row>
    <row r="33" spans="1:11" ht="12.75">
      <c r="A33" s="52">
        <v>900</v>
      </c>
      <c r="B33" s="6" t="s">
        <v>35</v>
      </c>
      <c r="C33" s="6" t="s">
        <v>35</v>
      </c>
      <c r="D33" s="2">
        <v>0</v>
      </c>
      <c r="E33" s="2">
        <v>0.06</v>
      </c>
      <c r="F33" s="2"/>
      <c r="G33" s="2"/>
      <c r="H33" s="2"/>
      <c r="I33" s="2"/>
      <c r="J33" s="2"/>
      <c r="K33" s="50" t="s">
        <v>76</v>
      </c>
    </row>
    <row r="34" spans="1:11" ht="12.75">
      <c r="A34" s="52"/>
      <c r="B34" s="6"/>
      <c r="C34" s="6"/>
      <c r="D34" s="2"/>
      <c r="E34" s="2"/>
      <c r="F34" s="2"/>
      <c r="G34" s="2"/>
      <c r="H34" s="2"/>
      <c r="I34" s="2"/>
      <c r="J34" s="2"/>
      <c r="K34" s="53"/>
    </row>
    <row r="35" spans="1:11" ht="25.5" customHeight="1">
      <c r="A35" s="108">
        <v>900</v>
      </c>
      <c r="B35" s="110" t="s">
        <v>37</v>
      </c>
      <c r="C35" s="6"/>
      <c r="D35" s="2">
        <v>0</v>
      </c>
      <c r="E35" s="2">
        <v>0.33</v>
      </c>
      <c r="F35" s="2"/>
      <c r="G35" s="2"/>
      <c r="H35" s="2"/>
      <c r="I35" s="2"/>
      <c r="J35" s="2"/>
      <c r="K35" s="50" t="s">
        <v>76</v>
      </c>
    </row>
    <row r="36" spans="1:11" ht="12.75">
      <c r="A36" s="109"/>
      <c r="B36" s="111"/>
      <c r="C36" s="6"/>
      <c r="D36" s="2">
        <v>0</v>
      </c>
      <c r="E36" s="2">
        <v>0.33</v>
      </c>
      <c r="F36" s="2"/>
      <c r="G36" s="2"/>
      <c r="H36" s="2"/>
      <c r="I36" s="2"/>
      <c r="J36" s="2"/>
      <c r="K36" s="50" t="s">
        <v>76</v>
      </c>
    </row>
    <row r="37" spans="1:11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2.75">
      <c r="A38" s="54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2.75">
      <c r="A39" s="54" t="s">
        <v>41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2.75">
      <c r="A40" s="54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2.75">
      <c r="A41" s="54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1" ht="12.75">
      <c r="A42" s="54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ht="12.75">
      <c r="A43" s="54" t="s">
        <v>44</v>
      </c>
      <c r="B43" s="47"/>
      <c r="C43" s="47"/>
      <c r="D43" s="47"/>
      <c r="E43" s="47"/>
      <c r="F43" s="47"/>
      <c r="G43" s="47"/>
      <c r="H43" s="47"/>
      <c r="I43" s="47"/>
      <c r="J43" s="47"/>
      <c r="K43" s="48"/>
    </row>
    <row r="44" spans="1:11" ht="12.75">
      <c r="A44" s="54" t="s">
        <v>45</v>
      </c>
      <c r="B44" s="47"/>
      <c r="C44" s="47"/>
      <c r="D44" s="47"/>
      <c r="E44" s="47"/>
      <c r="F44" s="47"/>
      <c r="G44" s="47"/>
      <c r="H44" s="47"/>
      <c r="I44" s="47"/>
      <c r="J44" s="47"/>
      <c r="K44" s="48"/>
    </row>
    <row r="45" spans="1:11" ht="12.75">
      <c r="A45" s="54" t="s">
        <v>46</v>
      </c>
      <c r="B45" s="47"/>
      <c r="C45" s="47"/>
      <c r="D45" s="47"/>
      <c r="E45" s="47"/>
      <c r="F45" s="47"/>
      <c r="G45" s="47"/>
      <c r="H45" s="47"/>
      <c r="I45" s="47"/>
      <c r="J45" s="47"/>
      <c r="K45" s="48"/>
    </row>
    <row r="46" spans="1:11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8"/>
    </row>
    <row r="47" spans="1:11" ht="12.75">
      <c r="A47" s="54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1" ht="12.75">
      <c r="A48" s="54" t="s">
        <v>48</v>
      </c>
      <c r="B48" s="47"/>
      <c r="C48" s="47"/>
      <c r="D48" s="47"/>
      <c r="E48" s="47"/>
      <c r="F48" s="47"/>
      <c r="G48" s="47"/>
      <c r="H48" s="47"/>
      <c r="I48" s="47"/>
      <c r="J48" s="47"/>
      <c r="K48" s="48"/>
    </row>
    <row r="49" spans="1:11" ht="12.75">
      <c r="A49" s="54" t="s">
        <v>49</v>
      </c>
      <c r="B49" s="47"/>
      <c r="C49" s="47"/>
      <c r="D49" s="47"/>
      <c r="E49" s="47"/>
      <c r="F49" s="47"/>
      <c r="G49" s="47"/>
      <c r="H49" s="47"/>
      <c r="I49" s="47"/>
      <c r="J49" s="47"/>
      <c r="K49" s="48"/>
    </row>
    <row r="50" spans="1:11" ht="12.75">
      <c r="A50" s="54" t="s">
        <v>50</v>
      </c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2.75">
      <c r="A51" s="54" t="s">
        <v>51</v>
      </c>
      <c r="B51" s="47"/>
      <c r="C51" s="47"/>
      <c r="D51" s="47"/>
      <c r="E51" s="47"/>
      <c r="F51" s="47"/>
      <c r="G51" s="47"/>
      <c r="H51" s="47"/>
      <c r="I51" s="47"/>
      <c r="J51" s="47"/>
      <c r="K51" s="48"/>
    </row>
    <row r="52" spans="1:11" ht="13.5" thickBo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7"/>
    </row>
  </sheetData>
  <sheetProtection/>
  <mergeCells count="9">
    <mergeCell ref="A3:K3"/>
    <mergeCell ref="A5:K5"/>
    <mergeCell ref="A9:K9"/>
    <mergeCell ref="A35:A36"/>
    <mergeCell ref="B35:B36"/>
    <mergeCell ref="A28:A29"/>
    <mergeCell ref="B28:B29"/>
    <mergeCell ref="A18:A26"/>
    <mergeCell ref="A12:A16"/>
  </mergeCells>
  <printOptions/>
  <pageMargins left="0.7" right="0.7" top="0.75" bottom="0.75" header="0.3" footer="0.3"/>
  <pageSetup fitToHeight="1" fitToWidth="1" horizontalDpi="600" verticalDpi="600" orientation="portrait" paperSize="9" scale="75" r:id="rId4"/>
  <headerFooter alignWithMargins="0">
    <oddFooter>&amp;CAlexandre S. Angelim - Especialista Portuário - Registro 8267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CDRJ</dc:creator>
  <cp:keywords/>
  <dc:description/>
  <cp:lastModifiedBy>Alexandre dos Santos Angelim</cp:lastModifiedBy>
  <cp:lastPrinted>2018-07-23T19:14:41Z</cp:lastPrinted>
  <dcterms:created xsi:type="dcterms:W3CDTF">2003-09-03T20:29:56Z</dcterms:created>
  <dcterms:modified xsi:type="dcterms:W3CDTF">2018-07-23T19:32:49Z</dcterms:modified>
  <cp:category/>
  <cp:version/>
  <cp:contentType/>
  <cp:contentStatus/>
</cp:coreProperties>
</file>